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425" firstSheet="2" activeTab="2"/>
  </bookViews>
  <sheets>
    <sheet name="Transformers kortslutningseffek" sheetId="8" r:id="rId1"/>
    <sheet name="KB regning" sheetId="9" r:id="rId2"/>
    <sheet name="T1-A1" sheetId="1" r:id="rId3"/>
    <sheet name="Lavspænding" sheetId="4" state="hidden" r:id="rId4"/>
    <sheet name="KB af tavle" sheetId="10" r:id="rId5"/>
    <sheet name="BIB af tavle" sheetId="11" r:id="rId6"/>
    <sheet name="Spændingsdyk" sheetId="5" r:id="rId7"/>
    <sheet name="DATA" sheetId="2" r:id="rId8"/>
    <sheet name="TABELLER" sheetId="3" r:id="rId9"/>
  </sheets>
  <definedNames>
    <definedName name="Alum1">TABELLER!$X$105:$X$111</definedName>
    <definedName name="Alum3">TABELLER!$X$113:$X$116</definedName>
    <definedName name="Kabel1kabel">TABELLER!$AB$104:$AF$104</definedName>
    <definedName name="Kabel1skarm">TABELLER!$AB$105:$AF$105</definedName>
    <definedName name="Kabel1storrelse">TABELLER!$AB$103:$AF$103</definedName>
    <definedName name="Kabel2kabel">TABELLER!$AB$111:$AE$111</definedName>
    <definedName name="Kabel2skarm">TABELLER!$AB$112:$AE$112</definedName>
    <definedName name="Kabel2storrelse">TABELLER!$AB$110:$AE$110</definedName>
    <definedName name="Kobber1">TABELLER!$X$99:$X$100</definedName>
    <definedName name="Kobber3">TABELLER!$X$102:$X$103</definedName>
    <definedName name="Situation1">{1,3,12,15,16}</definedName>
    <definedName name="Situation2">{2}</definedName>
    <definedName name="Situation3">{4,6,7,10,13,20,21,30,50,51,52,53,55,56,57,58,59,60}</definedName>
    <definedName name="Situation4">{5,8,9,11,14,40,41,42,43,44,45,46,47,54}</definedName>
    <definedName name="Situation5">{22,31,32,33,34,35,36}</definedName>
  </definedNames>
  <calcPr calcId="144525"/>
</workbook>
</file>

<file path=xl/calcChain.xml><?xml version="1.0" encoding="utf-8"?>
<calcChain xmlns="http://schemas.openxmlformats.org/spreadsheetml/2006/main">
  <c r="R4" i="11" l="1"/>
  <c r="A4" i="10"/>
  <c r="B4" i="10"/>
  <c r="C4" i="10"/>
  <c r="D4" i="10"/>
  <c r="E4" i="10"/>
  <c r="B3" i="11"/>
  <c r="A3" i="11"/>
  <c r="B4" i="11"/>
  <c r="B6" i="11" s="1"/>
  <c r="C4" i="11"/>
  <c r="D4" i="11"/>
  <c r="E4" i="11"/>
  <c r="A4" i="11"/>
  <c r="N9" i="11"/>
  <c r="R8" i="11"/>
  <c r="N8" i="11"/>
  <c r="R7" i="11"/>
  <c r="G6" i="11"/>
  <c r="G5" i="11"/>
  <c r="G4" i="11"/>
  <c r="K3" i="11"/>
  <c r="I3" i="11"/>
  <c r="G3" i="11"/>
  <c r="R8" i="10"/>
  <c r="R7" i="10"/>
  <c r="N9" i="10"/>
  <c r="N8" i="10"/>
  <c r="G5" i="10"/>
  <c r="G6" i="10"/>
  <c r="G4" i="10"/>
  <c r="K3" i="10"/>
  <c r="I3" i="10"/>
  <c r="G3" i="10"/>
  <c r="B3" i="10"/>
  <c r="A3" i="10"/>
  <c r="B7" i="10" l="1"/>
  <c r="B7" i="11"/>
  <c r="B6" i="10"/>
  <c r="B19" i="8"/>
  <c r="B18" i="8" s="1"/>
  <c r="P87" i="1" l="1"/>
  <c r="L87" i="1" s="1"/>
  <c r="B2" i="9"/>
  <c r="D2" i="9"/>
  <c r="I2" i="9"/>
  <c r="K2" i="9"/>
  <c r="B8" i="9"/>
  <c r="D8" i="9"/>
  <c r="I8" i="9"/>
  <c r="K8" i="9"/>
  <c r="H10" i="8"/>
  <c r="K10" i="8"/>
  <c r="H11" i="8"/>
  <c r="K11" i="8"/>
  <c r="B14" i="8"/>
  <c r="B16" i="8"/>
  <c r="B17" i="8"/>
  <c r="J5" i="9" s="1"/>
  <c r="J18" i="8"/>
  <c r="D10" i="9" s="1"/>
  <c r="J20" i="8"/>
  <c r="D4" i="9" s="1"/>
  <c r="H21" i="8"/>
  <c r="C4" i="9" s="1"/>
  <c r="H22" i="8"/>
  <c r="C10" i="9" s="1"/>
  <c r="H12" i="8" l="1"/>
  <c r="C5" i="9" s="1"/>
  <c r="D19" i="8"/>
  <c r="K5" i="9" s="1"/>
  <c r="E10" i="9"/>
  <c r="F10" i="9"/>
  <c r="E4" i="9"/>
  <c r="J11" i="9"/>
  <c r="F4" i="9"/>
  <c r="K12" i="8"/>
  <c r="C11" i="9" s="1"/>
  <c r="K13" i="8"/>
  <c r="D11" i="9" s="1"/>
  <c r="H13" i="8" l="1"/>
  <c r="D5" i="9" s="1"/>
  <c r="F5" i="9"/>
  <c r="F6" i="9" s="1"/>
  <c r="M5" i="9"/>
  <c r="L5" i="9"/>
  <c r="K11" i="9"/>
  <c r="L11" i="9" s="1"/>
  <c r="E5" i="9"/>
  <c r="E6" i="9" s="1"/>
  <c r="E11" i="9"/>
  <c r="E12" i="9" s="1"/>
  <c r="F11" i="9"/>
  <c r="F12" i="9" s="1"/>
  <c r="C12" i="9" l="1"/>
  <c r="D12" i="9"/>
  <c r="K10" i="9" s="1"/>
  <c r="C6" i="9"/>
  <c r="M11" i="9"/>
  <c r="D6" i="9"/>
  <c r="K4" i="9" s="1"/>
  <c r="B39" i="8" l="1"/>
  <c r="B27" i="8"/>
  <c r="B44" i="8"/>
  <c r="B32" i="8"/>
  <c r="J4" i="9" l="1"/>
  <c r="J10" i="9"/>
  <c r="F29" i="8"/>
  <c r="B29" i="8"/>
  <c r="B34" i="8"/>
  <c r="F34" i="8"/>
  <c r="M10" i="9" l="1"/>
  <c r="M12" i="9" s="1"/>
  <c r="L10" i="9"/>
  <c r="L12" i="9" s="1"/>
  <c r="L4" i="9"/>
  <c r="L6" i="9" s="1"/>
  <c r="M4" i="9"/>
  <c r="M6" i="9" s="1"/>
  <c r="J6" i="9" l="1"/>
  <c r="B45" i="8" s="1"/>
  <c r="K6" i="9"/>
  <c r="J12" i="9"/>
  <c r="B40" i="8" s="1"/>
  <c r="F41" i="8" s="1"/>
  <c r="K12" i="9"/>
  <c r="B46" i="8" l="1"/>
  <c r="B47" i="8" s="1"/>
  <c r="F46" i="8"/>
  <c r="B41" i="8"/>
  <c r="E34" i="1" l="1"/>
  <c r="AI100" i="3"/>
  <c r="AI99" i="3"/>
  <c r="AI98" i="3"/>
  <c r="AI97" i="3"/>
  <c r="B79" i="1" l="1"/>
  <c r="D81" i="1" s="1"/>
  <c r="D79" i="1"/>
  <c r="B81" i="1"/>
  <c r="D66" i="1"/>
  <c r="D20" i="1"/>
  <c r="H6" i="11" l="1"/>
  <c r="B12" i="11" s="1"/>
  <c r="H6" i="10"/>
  <c r="B12" i="10" s="1"/>
  <c r="D57" i="1"/>
  <c r="O6" i="1" l="1"/>
  <c r="L90" i="1" l="1"/>
  <c r="K90" i="1"/>
  <c r="N68" i="1"/>
  <c r="AG116" i="3"/>
  <c r="AP96" i="3" s="1"/>
  <c r="AA116" i="3"/>
  <c r="AO96" i="3" s="1"/>
  <c r="AA115" i="3"/>
  <c r="AA111" i="3"/>
  <c r="AA118" i="3" s="1"/>
  <c r="AG118" i="3" s="1"/>
  <c r="AA112" i="3"/>
  <c r="AA119" i="3" s="1"/>
  <c r="AG119" i="3" s="1"/>
  <c r="AA109" i="3"/>
  <c r="AN96" i="3" s="1"/>
  <c r="AA102" i="3"/>
  <c r="AM96" i="3" s="1"/>
  <c r="F66" i="1"/>
  <c r="M41" i="1"/>
  <c r="K46" i="1" l="1"/>
  <c r="J78" i="1" l="1"/>
  <c r="J81" i="1" s="1"/>
  <c r="J90" i="1" s="1"/>
  <c r="O71" i="1"/>
  <c r="N67" i="1"/>
  <c r="E32" i="1" l="1"/>
  <c r="W21" i="3"/>
  <c r="X21" i="3"/>
  <c r="Y21" i="3" l="1"/>
  <c r="X9" i="3"/>
  <c r="W9" i="3"/>
  <c r="Y9" i="3" l="1"/>
  <c r="D60" i="1"/>
  <c r="D59" i="1"/>
  <c r="L53" i="1"/>
  <c r="B19" i="2"/>
  <c r="B18" i="2"/>
  <c r="B17" i="2"/>
  <c r="D39" i="1"/>
  <c r="J46" i="1"/>
  <c r="J45" i="1"/>
  <c r="D23" i="5"/>
  <c r="C22" i="5"/>
  <c r="F15" i="5"/>
  <c r="C15" i="5"/>
  <c r="F14" i="5"/>
  <c r="F12" i="5"/>
  <c r="C12" i="5"/>
  <c r="F11" i="5"/>
  <c r="C11" i="5"/>
  <c r="F10" i="5"/>
  <c r="C10" i="5"/>
  <c r="D6" i="5"/>
  <c r="C6" i="5"/>
  <c r="J17" i="5" s="1"/>
  <c r="D4" i="5"/>
  <c r="C4" i="5"/>
  <c r="I17" i="5" s="1"/>
  <c r="C19" i="5" l="1"/>
  <c r="W2" i="3"/>
  <c r="V2" i="3"/>
  <c r="X2" i="3" l="1"/>
  <c r="D51" i="1" l="1"/>
  <c r="B16" i="2"/>
  <c r="L7" i="1" l="1"/>
  <c r="D10" i="2" s="1"/>
  <c r="L5" i="1"/>
  <c r="D4" i="2" s="1"/>
  <c r="D17" i="1"/>
  <c r="C11" i="2" l="1"/>
  <c r="C5" i="2"/>
  <c r="J9" i="1"/>
  <c r="C10" i="2" s="1"/>
  <c r="E10" i="2" s="1"/>
  <c r="J8" i="1"/>
  <c r="D10" i="1"/>
  <c r="D9" i="1"/>
  <c r="D72" i="1" l="1"/>
  <c r="M28" i="1"/>
  <c r="M29" i="1"/>
  <c r="J86" i="1" s="1"/>
  <c r="E28" i="1"/>
  <c r="E31" i="1"/>
  <c r="E33" i="1"/>
  <c r="B40" i="1" s="1"/>
  <c r="L56" i="1"/>
  <c r="L57" i="1" s="1"/>
  <c r="L51" i="1"/>
  <c r="L52" i="1" s="1"/>
  <c r="E6" i="5"/>
  <c r="E4" i="5"/>
  <c r="C4" i="2"/>
  <c r="F4" i="2" s="1"/>
  <c r="D11" i="1"/>
  <c r="F10" i="2"/>
  <c r="AH98" i="3" l="1"/>
  <c r="AK98" i="3" s="1"/>
  <c r="AH97" i="3"/>
  <c r="AK97" i="3" s="1"/>
  <c r="AG100" i="3"/>
  <c r="AG99" i="3"/>
  <c r="AG98" i="3"/>
  <c r="AG97" i="3"/>
  <c r="AJ97" i="3" s="1"/>
  <c r="M30" i="1"/>
  <c r="M42" i="1"/>
  <c r="E4" i="2"/>
  <c r="AM97" i="3" l="1"/>
  <c r="AM98" i="3"/>
  <c r="D76" i="1"/>
  <c r="AH99" i="3" s="1"/>
  <c r="AJ98" i="3"/>
  <c r="N31" i="1"/>
  <c r="M32" i="1"/>
  <c r="N30" i="1"/>
  <c r="C15" i="2"/>
  <c r="B15" i="2" l="1"/>
  <c r="M33" i="1"/>
  <c r="D75" i="1"/>
  <c r="AN98" i="3"/>
  <c r="AN97" i="3"/>
  <c r="D77" i="1" l="1"/>
  <c r="AH100" i="3" s="1"/>
  <c r="D78" i="1"/>
  <c r="B82" i="1" s="1"/>
  <c r="M34" i="1"/>
  <c r="L86" i="1" l="1"/>
  <c r="L74" i="1"/>
  <c r="O74" i="1" s="1"/>
  <c r="L75" i="1" s="1" a="1"/>
  <c r="L75" i="1" s="1"/>
  <c r="L76" i="1" s="1" a="1"/>
  <c r="L76" i="1" s="1"/>
  <c r="M36" i="1"/>
  <c r="L77" i="1" l="1"/>
  <c r="L78" i="1" s="1" a="1"/>
  <c r="L78" i="1" s="1"/>
  <c r="H3" i="2" s="1"/>
  <c r="I2" i="2"/>
  <c r="H2" i="2"/>
  <c r="M45" i="1"/>
  <c r="L79" i="1" l="1" a="1"/>
  <c r="L79" i="1" s="1"/>
  <c r="L80" i="1" s="1"/>
  <c r="L81" i="1" s="1" a="1"/>
  <c r="L81" i="1" s="1"/>
  <c r="H4" i="2" s="1"/>
  <c r="H5" i="2" s="1"/>
  <c r="O90" i="1" s="1"/>
  <c r="Q88" i="1" l="1"/>
  <c r="J88" i="1" s="1"/>
  <c r="I3" i="2"/>
  <c r="L82" i="1" a="1"/>
  <c r="L82" i="1" s="1"/>
  <c r="L83" i="1" s="1"/>
  <c r="I4" i="2" l="1"/>
  <c r="I5" i="2" s="1"/>
  <c r="N86" i="1" s="1"/>
  <c r="D18" i="1" l="1"/>
  <c r="D16" i="1" l="1"/>
  <c r="H4" i="10"/>
  <c r="B11" i="10" s="1"/>
  <c r="B14" i="10" s="1"/>
  <c r="B16" i="10" s="1"/>
  <c r="H4" i="11"/>
  <c r="B11" i="11" s="1"/>
  <c r="B14" i="11" s="1"/>
  <c r="B16" i="11" s="1"/>
  <c r="F4" i="5"/>
  <c r="F16" i="1" l="1"/>
  <c r="H3" i="11"/>
  <c r="H3" i="10"/>
  <c r="J3" i="11" l="1"/>
  <c r="J3" i="10"/>
  <c r="D5" i="2"/>
  <c r="D11" i="2"/>
  <c r="D19" i="1"/>
  <c r="F6" i="5"/>
  <c r="C24" i="5" l="1"/>
  <c r="C17" i="5"/>
  <c r="C20" i="5" s="1"/>
  <c r="C26" i="5" s="1"/>
  <c r="C28" i="5" s="1"/>
  <c r="E11" i="2"/>
  <c r="E12" i="2" s="1"/>
  <c r="F11" i="2"/>
  <c r="F12" i="2" s="1"/>
  <c r="E5" i="2"/>
  <c r="E6" i="2" s="1"/>
  <c r="F5" i="2"/>
  <c r="F6" i="2" s="1"/>
  <c r="H5" i="10"/>
  <c r="H5" i="11"/>
  <c r="C12" i="2" l="1"/>
  <c r="J13" i="1" s="1"/>
  <c r="P4" i="1" s="1"/>
  <c r="D12" i="2"/>
  <c r="J14" i="1" s="1"/>
  <c r="D6" i="2"/>
  <c r="J12" i="1" s="1"/>
  <c r="C6" i="2"/>
  <c r="J11" i="1" s="1"/>
  <c r="P8" i="1" s="1"/>
  <c r="P10" i="1" l="1"/>
  <c r="P9" i="1"/>
  <c r="M46" i="1"/>
  <c r="N46" i="1" s="1"/>
  <c r="P5" i="1"/>
  <c r="D53" i="1" s="1"/>
  <c r="G53" i="1" s="1"/>
  <c r="L88" i="1"/>
  <c r="N88" i="1" s="1"/>
  <c r="P6" i="1"/>
  <c r="D82" i="1" l="1"/>
  <c r="E82" i="1" s="1"/>
  <c r="D40" i="1"/>
  <c r="E40" i="1" s="1"/>
  <c r="D61" i="1"/>
  <c r="G61" i="1" s="1"/>
  <c r="K45" i="1"/>
  <c r="N45" i="1" s="1"/>
</calcChain>
</file>

<file path=xl/comments1.xml><?xml version="1.0" encoding="utf-8"?>
<comments xmlns="http://schemas.openxmlformats.org/spreadsheetml/2006/main">
  <authors>
    <author>Simon Jensen</author>
  </authors>
  <commentList>
    <comment ref="O6" authorId="0">
      <text>
        <r>
          <rPr>
            <b/>
            <sz val="9"/>
            <color indexed="81"/>
            <rFont val="Tahoma"/>
            <charset val="1"/>
          </rPr>
          <t>I'_kFN ved TN-systemer
I'_kFPE ved TT-systemer</t>
        </r>
      </text>
    </comment>
    <comment ref="E27" authorId="0">
      <text>
        <r>
          <rPr>
            <b/>
            <sz val="9"/>
            <color indexed="81"/>
            <rFont val="Tahoma"/>
            <charset val="1"/>
          </rPr>
          <t>Vælg kun CEF-sikring ved mindre transformerstørrelser</t>
        </r>
      </text>
    </comment>
    <comment ref="M27" authorId="0">
      <text>
        <r>
          <rPr>
            <b/>
            <sz val="9"/>
            <color indexed="81"/>
            <rFont val="Tahoma"/>
            <charset val="1"/>
          </rPr>
          <t>Hvis valgt højspændingssikring er en CEF, da vælg da også en CEF lavssændingssikring da disse har garanteret selektiv af fabrikanten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Inkl. 0,04s brydetid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Inkl. 0,04s brydetid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Inkl. 0,04s brydetid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Aflæsning i SBi2 bilag B2 s. 90. Aflæs temperaturen for jordlederens materiale og linjerelæets tid</t>
        </r>
      </text>
    </comment>
  </commentList>
</comments>
</file>

<file path=xl/comments2.xml><?xml version="1.0" encoding="utf-8"?>
<comments xmlns="http://schemas.openxmlformats.org/spreadsheetml/2006/main">
  <authors>
    <author>Simon Jensen</author>
  </authors>
  <commentList>
    <comment ref="A46" authorId="0">
      <text>
        <r>
          <rPr>
            <b/>
            <sz val="9"/>
            <color indexed="81"/>
            <rFont val="Tahoma"/>
            <family val="2"/>
          </rPr>
          <t>Denne er valgt som største TMD - find flere større</t>
        </r>
      </text>
    </comment>
  </commentList>
</comments>
</file>

<file path=xl/sharedStrings.xml><?xml version="1.0" encoding="utf-8"?>
<sst xmlns="http://schemas.openxmlformats.org/spreadsheetml/2006/main" count="765" uniqueCount="360">
  <si>
    <t>Transformer</t>
  </si>
  <si>
    <t>kVA</t>
  </si>
  <si>
    <t>I_B1</t>
  </si>
  <si>
    <t>U_N1</t>
  </si>
  <si>
    <t>V</t>
  </si>
  <si>
    <t>U_N2</t>
  </si>
  <si>
    <t>A</t>
  </si>
  <si>
    <t>I_B2</t>
  </si>
  <si>
    <t>S_K_n,max</t>
  </si>
  <si>
    <t>MVA</t>
  </si>
  <si>
    <t>S_K_n,min</t>
  </si>
  <si>
    <t>Ω</t>
  </si>
  <si>
    <t>I_START</t>
  </si>
  <si>
    <t>Z_n_max_2</t>
  </si>
  <si>
    <t>Z_n_min_2</t>
  </si>
  <si>
    <t>e_r</t>
  </si>
  <si>
    <t>e_k</t>
  </si>
  <si>
    <r>
      <t>cos</t>
    </r>
    <r>
      <rPr>
        <sz val="11"/>
        <color theme="1"/>
        <rFont val="Calibri"/>
        <family val="2"/>
      </rPr>
      <t>ϕ_T</t>
    </r>
  </si>
  <si>
    <t>%</t>
  </si>
  <si>
    <t xml:space="preserve"> =&gt;</t>
  </si>
  <si>
    <t>°</t>
  </si>
  <si>
    <t>n</t>
  </si>
  <si>
    <t>Z_T</t>
  </si>
  <si>
    <t>Længde 1</t>
  </si>
  <si>
    <t>Længde 2</t>
  </si>
  <si>
    <t>R/X</t>
  </si>
  <si>
    <t>Resultat længde</t>
  </si>
  <si>
    <t>Vinkel</t>
  </si>
  <si>
    <t>X-værdi</t>
  </si>
  <si>
    <t>Y-værdi</t>
  </si>
  <si>
    <t>Z_max_2</t>
  </si>
  <si>
    <t>ϕ_max_2</t>
  </si>
  <si>
    <t>MAX</t>
  </si>
  <si>
    <t>MIN</t>
  </si>
  <si>
    <t>Z_min_2</t>
  </si>
  <si>
    <t>ϕ_min_2</t>
  </si>
  <si>
    <t>I_k3F_max</t>
  </si>
  <si>
    <t>I_k2F_max</t>
  </si>
  <si>
    <t>I_k3F_min</t>
  </si>
  <si>
    <t>I_k2F_min</t>
  </si>
  <si>
    <t>Beregninger på nettet til første tavle</t>
  </si>
  <si>
    <t>Beskyttelse</t>
  </si>
  <si>
    <t>Valgt beskyttelse:</t>
  </si>
  <si>
    <t>Belastningsstrømmen (IB)</t>
  </si>
  <si>
    <t>Valgt maksimalafbryder</t>
  </si>
  <si>
    <t>Maksimalafbryder Unit</t>
  </si>
  <si>
    <t>Grovindstilling (I'0)</t>
  </si>
  <si>
    <t>Finindstilling (I'r)</t>
  </si>
  <si>
    <t>Micrologic indstilling (Ir)</t>
  </si>
  <si>
    <t>Faktor</t>
  </si>
  <si>
    <t>Short time relay (ISD)</t>
  </si>
  <si>
    <t>TMD indstilling (Ir)</t>
  </si>
  <si>
    <t>(Im)</t>
  </si>
  <si>
    <t>Maksimalafbryder</t>
  </si>
  <si>
    <t>NSX40</t>
  </si>
  <si>
    <t>NSX100</t>
  </si>
  <si>
    <t>NSX160</t>
  </si>
  <si>
    <t>NSX250</t>
  </si>
  <si>
    <t>NSX400</t>
  </si>
  <si>
    <t>NSX630</t>
  </si>
  <si>
    <t>NSX1000</t>
  </si>
  <si>
    <t>NSX1250</t>
  </si>
  <si>
    <t>Micrologic tolerance</t>
  </si>
  <si>
    <t>Aktiveringsstrøm unøjagtighed</t>
  </si>
  <si>
    <t>Foretager tjek på maksimalafbryderens kortslutningsudløser:</t>
  </si>
  <si>
    <t>Transformerstørrelse</t>
  </si>
  <si>
    <t>Dimensionering af jordingsanlæg til transformer</t>
  </si>
  <si>
    <t>t_linierelæ</t>
  </si>
  <si>
    <t>s</t>
  </si>
  <si>
    <t>t_udløser</t>
  </si>
  <si>
    <t>Aflæs i SBi2 tabel B2 s.90 ved:</t>
  </si>
  <si>
    <t>tid</t>
  </si>
  <si>
    <t>J</t>
  </si>
  <si>
    <t>A/mm^2</t>
  </si>
  <si>
    <t>Beskyttende jord</t>
  </si>
  <si>
    <t>S_jord</t>
  </si>
  <si>
    <t>mm^2</t>
  </si>
  <si>
    <t>Driftsmæssig jord</t>
  </si>
  <si>
    <t>Θf</t>
  </si>
  <si>
    <t>Θi</t>
  </si>
  <si>
    <t>°C</t>
  </si>
  <si>
    <t>Opslag i SBi2 tabel B1 s. 89</t>
  </si>
  <si>
    <t>β</t>
  </si>
  <si>
    <t>k</t>
  </si>
  <si>
    <t>R_T</t>
  </si>
  <si>
    <t>X_T</t>
  </si>
  <si>
    <t>R</t>
  </si>
  <si>
    <t>X</t>
  </si>
  <si>
    <t>Net</t>
  </si>
  <si>
    <t>I_A3</t>
  </si>
  <si>
    <t>Cos</t>
  </si>
  <si>
    <t>I_W</t>
  </si>
  <si>
    <t>I_wl</t>
  </si>
  <si>
    <t>sin</t>
  </si>
  <si>
    <t>I_A2,AB</t>
  </si>
  <si>
    <t>I_A4.1</t>
  </si>
  <si>
    <t>I_A4.3</t>
  </si>
  <si>
    <t>I_A4,AB</t>
  </si>
  <si>
    <t>U_f_T</t>
  </si>
  <si>
    <t>Samlet kabelmodstand til tavle A4:</t>
  </si>
  <si>
    <t>U_f_tavle A4</t>
  </si>
  <si>
    <t>Samlet spændingsfald</t>
  </si>
  <si>
    <t>I_A4.2</t>
  </si>
  <si>
    <t>U_f_M</t>
  </si>
  <si>
    <t>cos_start</t>
  </si>
  <si>
    <t>Totalt spændingsfald</t>
  </si>
  <si>
    <t>Spændingsdyk</t>
  </si>
  <si>
    <t>PVC</t>
  </si>
  <si>
    <t xml:space="preserve">Mindre gode </t>
  </si>
  <si>
    <t>Normale</t>
  </si>
  <si>
    <t>Særligt gode</t>
  </si>
  <si>
    <t>IM</t>
  </si>
  <si>
    <t>varmeledningsforhold</t>
  </si>
  <si>
    <t>Varmeledningsforhold</t>
  </si>
  <si>
    <t>Vælg installationsmåde</t>
  </si>
  <si>
    <t>Installationsmåder</t>
  </si>
  <si>
    <t>1, 3, 12, 15, 16</t>
  </si>
  <si>
    <t>4, 6, 7, 10, 13, 20,21, 30, 50, 51, 52, 53, 55, 56, 57, 58, 59, 60</t>
  </si>
  <si>
    <t>5, 8, 9, 11, 14, 40, 41, 42, 43, 44, 45, 46, 47, 54</t>
  </si>
  <si>
    <t>22, 31, 32, 33, 34, 35, 36</t>
  </si>
  <si>
    <t>Kobber</t>
  </si>
  <si>
    <t>-</t>
  </si>
  <si>
    <t>Aluminium</t>
  </si>
  <si>
    <t>XLPE</t>
  </si>
  <si>
    <t>4, 6, 7, 10, 13, 20,21, 30,</t>
  </si>
  <si>
    <t>5, 8, 9, 11, 14, 40 til 47,</t>
  </si>
  <si>
    <t xml:space="preserve">50, 51, 52, 53, 55, 56, 57, </t>
  </si>
  <si>
    <t>58, 59, 60</t>
  </si>
  <si>
    <t>Ledertværsnit</t>
  </si>
  <si>
    <t>Strømværdier</t>
  </si>
  <si>
    <t>Sikring (IN)</t>
  </si>
  <si>
    <t>Sikring</t>
  </si>
  <si>
    <t>Sikringstype</t>
  </si>
  <si>
    <t>D01</t>
  </si>
  <si>
    <t>D02</t>
  </si>
  <si>
    <t>D03</t>
  </si>
  <si>
    <t>NH1</t>
  </si>
  <si>
    <t>NH00</t>
  </si>
  <si>
    <t>NH0</t>
  </si>
  <si>
    <t>NH2</t>
  </si>
  <si>
    <t>NH3</t>
  </si>
  <si>
    <t>NH4a</t>
  </si>
  <si>
    <t>SIBA VS</t>
  </si>
  <si>
    <t>V / kVA</t>
  </si>
  <si>
    <t>Vælg sikring</t>
  </si>
  <si>
    <t>Micrologic 2.0</t>
  </si>
  <si>
    <t>TMD</t>
  </si>
  <si>
    <t>NSX1600</t>
  </si>
  <si>
    <t>NSX2000</t>
  </si>
  <si>
    <t>NSX2500</t>
  </si>
  <si>
    <t>NSX3200</t>
  </si>
  <si>
    <t>CEF</t>
  </si>
  <si>
    <t>Distributionsnettet</t>
  </si>
  <si>
    <t>Maksimalafbryder Icu</t>
  </si>
  <si>
    <t>Overstrømsrelæ</t>
  </si>
  <si>
    <t>I&gt;</t>
  </si>
  <si>
    <t>t&gt;</t>
  </si>
  <si>
    <t>sek</t>
  </si>
  <si>
    <t>I&gt;&gt;</t>
  </si>
  <si>
    <t>t&gt;&gt;</t>
  </si>
  <si>
    <t>I&gt;&gt;&gt;</t>
  </si>
  <si>
    <t>t&gt;&gt;&gt;</t>
  </si>
  <si>
    <t>Konstanttidsrelæ</t>
  </si>
  <si>
    <t>Indstilling</t>
  </si>
  <si>
    <t>Kontrol af kontanttidsrelæ</t>
  </si>
  <si>
    <t>≤</t>
  </si>
  <si>
    <t>≥</t>
  </si>
  <si>
    <t>Strøm og spændingsstransformer</t>
  </si>
  <si>
    <t>Primær</t>
  </si>
  <si>
    <t>Sekundær</t>
  </si>
  <si>
    <t>Sikkerhedsfaktor</t>
  </si>
  <si>
    <t>Dimensionerende strøm</t>
  </si>
  <si>
    <t>Valgt strømtraffo</t>
  </si>
  <si>
    <t>Strømtransformer</t>
  </si>
  <si>
    <t>/5</t>
  </si>
  <si>
    <t>Valgt spændingstraffo</t>
  </si>
  <si>
    <t>Spændingstransformer</t>
  </si>
  <si>
    <t>/100</t>
  </si>
  <si>
    <t>Blandede belastninger</t>
  </si>
  <si>
    <t>"Anden Belastning"</t>
  </si>
  <si>
    <t>Motor</t>
  </si>
  <si>
    <t>Stikkontakt/kraftudtag</t>
  </si>
  <si>
    <t>Lavspændingstavle med 3 undertavler med blandede belastninger</t>
  </si>
  <si>
    <t>Stål</t>
  </si>
  <si>
    <t>Højspænding</t>
  </si>
  <si>
    <t>Lavspænding</t>
  </si>
  <si>
    <t>2x40</t>
  </si>
  <si>
    <t>Ikke</t>
  </si>
  <si>
    <t>indstillelig</t>
  </si>
  <si>
    <t>Kabel dimensionering</t>
  </si>
  <si>
    <t>Omgivende max. Temp.</t>
  </si>
  <si>
    <t>Sammenliggende kabler</t>
  </si>
  <si>
    <t>kt</t>
  </si>
  <si>
    <t>Temp</t>
  </si>
  <si>
    <t>Vælg kabeltype</t>
  </si>
  <si>
    <t>Vælg nærmeste</t>
  </si>
  <si>
    <t>ks</t>
  </si>
  <si>
    <t>Nr</t>
  </si>
  <si>
    <t>Antal strømkredse</t>
  </si>
  <si>
    <t>1. Forsænket eller kapslet</t>
  </si>
  <si>
    <t>2. Enkelt lag på væg, gulv eller uperforeret kabelbakke</t>
  </si>
  <si>
    <t>3. Enkelt lag direkte på loft</t>
  </si>
  <si>
    <t>4. Enkelt lag på perforeret vandret eller lodret kabelbakke</t>
  </si>
  <si>
    <t>5. Enkelt lag på kabelstige eller holdere</t>
  </si>
  <si>
    <t>Vælg fremføringsmetode</t>
  </si>
  <si>
    <t>Fremføringsmetode</t>
  </si>
  <si>
    <t>Installationsmetode 1</t>
  </si>
  <si>
    <t>Installationsmetode 2</t>
  </si>
  <si>
    <t>Dimensioneringsstrøm</t>
  </si>
  <si>
    <t>Vælg materiale</t>
  </si>
  <si>
    <t>Kabelisolation</t>
  </si>
  <si>
    <t>S_(T1-A1)</t>
  </si>
  <si>
    <t>Trådmateriale</t>
  </si>
  <si>
    <t>Belastningsgrad</t>
  </si>
  <si>
    <t>dim 1</t>
  </si>
  <si>
    <t>dim2</t>
  </si>
  <si>
    <t>P_Cu_fuld</t>
  </si>
  <si>
    <t>kW</t>
  </si>
  <si>
    <t>P_Fe</t>
  </si>
  <si>
    <t>Transformer T1</t>
  </si>
  <si>
    <t>Kortslutningsstrømme</t>
  </si>
  <si>
    <t>Højspændingssikring før transformer T1</t>
  </si>
  <si>
    <t>Lavspændingssikring efter transformer T1</t>
  </si>
  <si>
    <t>På baggrund af de forenklede danske regler - SBi6 Bilag A til kapitel 52</t>
  </si>
  <si>
    <t>Indtast i de gule felter i de anførte enheder</t>
  </si>
  <si>
    <t>dim3</t>
  </si>
  <si>
    <t>Hvis kabel ligger alene se da bort fra dim2 og dim3 medmindre 75%-regel skal overholdes</t>
  </si>
  <si>
    <t>A*kvrod(s)/mm^2</t>
  </si>
  <si>
    <t>Alu</t>
  </si>
  <si>
    <t>Tjek af kabel</t>
  </si>
  <si>
    <t>I_B</t>
  </si>
  <si>
    <t>I_N</t>
  </si>
  <si>
    <t>I_Z * k_t * k_s</t>
  </si>
  <si>
    <t>Endeligt dimensioneret kabel:</t>
  </si>
  <si>
    <t>I_Z</t>
  </si>
  <si>
    <t>Leder antal</t>
  </si>
  <si>
    <t>Cu</t>
  </si>
  <si>
    <t>PEX-Cu 12kV</t>
  </si>
  <si>
    <t>NOIK-Cu 17,5kV</t>
  </si>
  <si>
    <t>PEX-Cu 24kV</t>
  </si>
  <si>
    <t>PEX-Cu 17,5kV</t>
  </si>
  <si>
    <t>Al</t>
  </si>
  <si>
    <t>NOIK-Al 17,5kV</t>
  </si>
  <si>
    <t>NOIK-M-AL 17,5kV</t>
  </si>
  <si>
    <t>PEX-AL 24kV</t>
  </si>
  <si>
    <t>PEX-M-AL 24kV</t>
  </si>
  <si>
    <t>PEX-AL 36kV</t>
  </si>
  <si>
    <t>PEX-M-AL 36kV</t>
  </si>
  <si>
    <t>PEX-M-AL-LT 12kV</t>
  </si>
  <si>
    <t>NOIK-S-AL 12kV</t>
  </si>
  <si>
    <t>PEX-M-AL 12kV</t>
  </si>
  <si>
    <t>PEX-S-Al 17,5kV</t>
  </si>
  <si>
    <t>PEX-S-AL 12kV</t>
  </si>
  <si>
    <t>Kabel type</t>
  </si>
  <si>
    <t>Op-/nedlægning</t>
  </si>
  <si>
    <t>x</t>
  </si>
  <si>
    <t>Jord</t>
  </si>
  <si>
    <t>Luft</t>
  </si>
  <si>
    <t>I_k2F_min2</t>
  </si>
  <si>
    <t>3-leder PEX-M-AL 12kV</t>
  </si>
  <si>
    <t>3-leder PEX-S-AL 12kV</t>
  </si>
  <si>
    <t>1-leder PEX-M-AL-LT 12kV</t>
  </si>
  <si>
    <t>1-leder PEX-Cu 17,5kV</t>
  </si>
  <si>
    <t>Kabel valg</t>
  </si>
  <si>
    <t>Vælg kabel</t>
  </si>
  <si>
    <t>Ik_kabel</t>
  </si>
  <si>
    <t>Ik_skærm</t>
  </si>
  <si>
    <t>dim1</t>
  </si>
  <si>
    <t>(S*k)^2</t>
  </si>
  <si>
    <t>Systemjording</t>
  </si>
  <si>
    <t>TN</t>
  </si>
  <si>
    <t>Bog 5 s. 269</t>
  </si>
  <si>
    <t>Micrologic</t>
  </si>
  <si>
    <t>Temperatur i transformer</t>
  </si>
  <si>
    <t>U_N1,test</t>
  </si>
  <si>
    <t>U_N2,test</t>
  </si>
  <si>
    <t>Vælg måde</t>
  </si>
  <si>
    <t>Lederlægningsmetode</t>
  </si>
  <si>
    <t>Vælg skærm</t>
  </si>
  <si>
    <t>Kabelskærm</t>
  </si>
  <si>
    <t>1-leder kabler</t>
  </si>
  <si>
    <t>kA</t>
  </si>
  <si>
    <t>MANGLER AT INDFØRE 1-LEDER HØJSPÆNDINGSKABEL</t>
  </si>
  <si>
    <t>Korte Høj-/Mellemspændingskabel</t>
  </si>
  <si>
    <t>Lavspændingskabel fra transformer til tavle</t>
  </si>
  <si>
    <t>Iz</t>
  </si>
  <si>
    <t>kabel</t>
  </si>
  <si>
    <t>Ik</t>
  </si>
  <si>
    <t>Kabel</t>
  </si>
  <si>
    <t>Skarm</t>
  </si>
  <si>
    <t>Maskimalafbryder+unit</t>
  </si>
  <si>
    <t>S_(net-T1)</t>
  </si>
  <si>
    <t>U_n1,test</t>
  </si>
  <si>
    <t>S_kabel</t>
  </si>
  <si>
    <t>U_n2,test</t>
  </si>
  <si>
    <t>r_kabel</t>
  </si>
  <si>
    <t>ohm/km</t>
  </si>
  <si>
    <t>U_n1</t>
  </si>
  <si>
    <t>x_kabel</t>
  </si>
  <si>
    <t>U_n2</t>
  </si>
  <si>
    <t>l_max</t>
  </si>
  <si>
    <t>km</t>
  </si>
  <si>
    <t>S_T</t>
  </si>
  <si>
    <t>l_min</t>
  </si>
  <si>
    <t>R_kabel_max</t>
  </si>
  <si>
    <t>ohm</t>
  </si>
  <si>
    <t>R_kabel_min</t>
  </si>
  <si>
    <t>P_CU,fuld</t>
  </si>
  <si>
    <t>W</t>
  </si>
  <si>
    <t>X_kabel_max</t>
  </si>
  <si>
    <t>X_kabel_min</t>
  </si>
  <si>
    <t>P_0</t>
  </si>
  <si>
    <t>Z_kabel_max</t>
  </si>
  <si>
    <t>Z_kabel_min</t>
  </si>
  <si>
    <t>cos_phi kabel</t>
  </si>
  <si>
    <t>grader</t>
  </si>
  <si>
    <t>I_n2</t>
  </si>
  <si>
    <t>cos_phi_T</t>
  </si>
  <si>
    <t>Kortslutningseffekter og strømme på primærside</t>
  </si>
  <si>
    <t>Største kortslutningsstrøm</t>
  </si>
  <si>
    <t>Største kortslutningseffekt</t>
  </si>
  <si>
    <t>I_k3F_max_2</t>
  </si>
  <si>
    <t>S_kTmax_2</t>
  </si>
  <si>
    <t>Mindste kortslutningsstrøm</t>
  </si>
  <si>
    <t>Mindste kortslutningseffekt</t>
  </si>
  <si>
    <t>Z'_max_T</t>
  </si>
  <si>
    <t>I_k3F_min_2</t>
  </si>
  <si>
    <t>S_kTmin_2</t>
  </si>
  <si>
    <t>Kortslutningseffekter og strømme på sekundærside</t>
  </si>
  <si>
    <t>Z_min</t>
  </si>
  <si>
    <t>I_k2F_min_2</t>
  </si>
  <si>
    <t>De ligger meget tæt da transformeren virker kortslutningsbegrænsende og nettet har ingen indflydelse herpå.</t>
  </si>
  <si>
    <t>+</t>
  </si>
  <si>
    <t>Regnes uafhængig af de andre ark…</t>
  </si>
  <si>
    <t>Transformerens kortslutningseffekter</t>
  </si>
  <si>
    <t>PVC &lt;300</t>
  </si>
  <si>
    <t>PVC &gt;300</t>
  </si>
  <si>
    <t>3x1x150</t>
  </si>
  <si>
    <t>Z'_max_T_2</t>
  </si>
  <si>
    <t>S_kTmax</t>
  </si>
  <si>
    <t>S_kTmin</t>
  </si>
  <si>
    <t>Z'_min</t>
  </si>
  <si>
    <t>Nettet</t>
  </si>
  <si>
    <t>A1</t>
  </si>
  <si>
    <t>A3</t>
  </si>
  <si>
    <t>S</t>
  </si>
  <si>
    <t>6#4x120</t>
  </si>
  <si>
    <t>4x70</t>
  </si>
  <si>
    <t>længde</t>
  </si>
  <si>
    <t>r</t>
  </si>
  <si>
    <t>X_n_min_2</t>
  </si>
  <si>
    <t>Ω/km</t>
  </si>
  <si>
    <t>ΣR</t>
  </si>
  <si>
    <t>ΣX</t>
  </si>
  <si>
    <t>R_n_min_2</t>
  </si>
  <si>
    <t>ΣZ</t>
  </si>
  <si>
    <t>U_n3</t>
  </si>
  <si>
    <t>Strømkredse</t>
  </si>
  <si>
    <t>I_k3F</t>
  </si>
  <si>
    <t>4x240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</si>
</sst>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000"/>
    <numFmt numFmtId="165" formatCode="0.000"/>
    <numFmt numFmtId="166" formatCode="0.0"/>
    <numFmt numFmtId="167" formatCode="0.00000"/>
    <numFmt numFmtId="168" formatCode="_ * #,##0_ ;_ * \-#,##0_ ;_ * &quot;-&quot;??_ ;_ @_ "/>
    <numFmt numFmtId="169" formatCode="0.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5" fillId="0" borderId="0" xfId="0" applyFont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1" xfId="0" applyFill="1" applyBorder="1"/>
    <xf numFmtId="0" fontId="0" fillId="0" borderId="12" xfId="0" applyFill="1" applyBorder="1"/>
    <xf numFmtId="166" fontId="0" fillId="2" borderId="1" xfId="0" applyNumberFormat="1" applyFill="1" applyBorder="1"/>
    <xf numFmtId="168" fontId="0" fillId="3" borderId="1" xfId="1" applyNumberFormat="1" applyFont="1" applyFill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168" fontId="0" fillId="3" borderId="1" xfId="1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4" borderId="1" xfId="0" applyNumberFormat="1" applyFill="1" applyBorder="1"/>
    <xf numFmtId="166" fontId="0" fillId="4" borderId="1" xfId="0" applyNumberFormat="1" applyFill="1" applyBorder="1"/>
    <xf numFmtId="0" fontId="0" fillId="4" borderId="1" xfId="0" applyFill="1" applyBorder="1"/>
    <xf numFmtId="167" fontId="0" fillId="4" borderId="1" xfId="0" applyNumberFormat="1" applyFill="1" applyBorder="1"/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5" xfId="0" applyFont="1" applyBorder="1" applyAlignment="1">
      <alignment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vertic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0" fontId="2" fillId="0" borderId="25" xfId="0" applyFont="1" applyBorder="1" applyAlignment="1">
      <alignment vertical="center"/>
    </xf>
    <xf numFmtId="0" fontId="2" fillId="0" borderId="27" xfId="0" applyFont="1" applyBorder="1" applyAlignment="1"/>
    <xf numFmtId="0" fontId="0" fillId="0" borderId="30" xfId="0" applyBorder="1" applyAlignment="1"/>
    <xf numFmtId="0" fontId="0" fillId="0" borderId="31" xfId="0" applyBorder="1" applyAlignment="1">
      <alignment horizontal="center"/>
    </xf>
    <xf numFmtId="0" fontId="0" fillId="0" borderId="32" xfId="0" applyBorder="1" applyAlignment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0" borderId="35" xfId="0" applyFont="1" applyBorder="1" applyAlignment="1"/>
    <xf numFmtId="0" fontId="0" fillId="0" borderId="30" xfId="0" applyFont="1" applyBorder="1" applyAlignment="1"/>
    <xf numFmtId="0" fontId="0" fillId="0" borderId="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2" xfId="0" applyFont="1" applyBorder="1" applyAlignment="1"/>
    <xf numFmtId="0" fontId="2" fillId="0" borderId="40" xfId="0" applyFont="1" applyBorder="1" applyAlignment="1">
      <alignment vertic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7" xfId="0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/>
    <xf numFmtId="0" fontId="0" fillId="0" borderId="8" xfId="0" applyBorder="1" applyAlignment="1"/>
    <xf numFmtId="0" fontId="0" fillId="0" borderId="7" xfId="0" applyBorder="1" applyAlignment="1"/>
    <xf numFmtId="0" fontId="0" fillId="0" borderId="53" xfId="0" applyBorder="1" applyAlignment="1"/>
    <xf numFmtId="0" fontId="0" fillId="0" borderId="54" xfId="0" applyBorder="1" applyAlignment="1"/>
    <xf numFmtId="0" fontId="0" fillId="0" borderId="55" xfId="0" applyBorder="1" applyAlignment="1">
      <alignment horizontal="center"/>
    </xf>
    <xf numFmtId="0" fontId="2" fillId="0" borderId="56" xfId="0" applyFont="1" applyBorder="1" applyAlignment="1"/>
    <xf numFmtId="0" fontId="2" fillId="0" borderId="57" xfId="0" applyFont="1" applyBorder="1" applyAlignment="1"/>
    <xf numFmtId="0" fontId="0" fillId="0" borderId="53" xfId="0" applyFont="1" applyBorder="1" applyAlignment="1"/>
    <xf numFmtId="0" fontId="0" fillId="0" borderId="58" xfId="0" applyFont="1" applyBorder="1" applyAlignment="1"/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" xfId="0" applyFill="1" applyBorder="1"/>
    <xf numFmtId="0" fontId="0" fillId="2" borderId="3" xfId="0" applyFill="1" applyBorder="1" applyAlignment="1"/>
    <xf numFmtId="0" fontId="0" fillId="0" borderId="9" xfId="0" applyBorder="1"/>
    <xf numFmtId="0" fontId="0" fillId="0" borderId="10" xfId="0" applyBorder="1"/>
    <xf numFmtId="0" fontId="0" fillId="0" borderId="61" xfId="0" applyBorder="1"/>
    <xf numFmtId="0" fontId="0" fillId="0" borderId="28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52" xfId="0" applyFill="1" applyBorder="1"/>
    <xf numFmtId="0" fontId="0" fillId="2" borderId="1" xfId="0" applyFill="1" applyBorder="1" applyAlignment="1"/>
    <xf numFmtId="0" fontId="0" fillId="0" borderId="9" xfId="0" applyFill="1" applyBorder="1"/>
    <xf numFmtId="0" fontId="0" fillId="0" borderId="13" xfId="0" applyFill="1" applyBorder="1"/>
    <xf numFmtId="0" fontId="0" fillId="0" borderId="14" xfId="0" applyFill="1" applyBorder="1"/>
    <xf numFmtId="0" fontId="10" fillId="0" borderId="0" xfId="0" applyFont="1"/>
    <xf numFmtId="0" fontId="0" fillId="3" borderId="1" xfId="0" applyFill="1" applyBorder="1" applyAlignment="1">
      <alignment horizontal="center"/>
    </xf>
    <xf numFmtId="0" fontId="11" fillId="4" borderId="1" xfId="0" applyFont="1" applyFill="1" applyBorder="1"/>
    <xf numFmtId="0" fontId="0" fillId="3" borderId="52" xfId="0" applyFill="1" applyBorder="1"/>
    <xf numFmtId="0" fontId="0" fillId="0" borderId="0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2" xfId="0" applyFill="1" applyBorder="1" applyAlignment="1"/>
    <xf numFmtId="0" fontId="0" fillId="0" borderId="0" xfId="0" applyFill="1" applyBorder="1" applyAlignment="1">
      <alignment horizontal="center"/>
    </xf>
    <xf numFmtId="0" fontId="0" fillId="2" borderId="0" xfId="0" applyFill="1"/>
    <xf numFmtId="166" fontId="0" fillId="0" borderId="1" xfId="0" applyNumberFormat="1" applyBorder="1" applyAlignment="1">
      <alignment horizontal="center"/>
    </xf>
    <xf numFmtId="43" fontId="0" fillId="0" borderId="0" xfId="1" applyFont="1"/>
    <xf numFmtId="0" fontId="0" fillId="0" borderId="0" xfId="0" applyFill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" fontId="0" fillId="4" borderId="1" xfId="0" applyNumberFormat="1" applyFill="1" applyBorder="1"/>
    <xf numFmtId="1" fontId="0" fillId="0" borderId="1" xfId="0" applyNumberFormat="1" applyBorder="1" applyAlignment="1">
      <alignment horizontal="center"/>
    </xf>
    <xf numFmtId="0" fontId="3" fillId="0" borderId="7" xfId="0" applyFont="1" applyBorder="1" applyAlignment="1"/>
    <xf numFmtId="0" fontId="3" fillId="3" borderId="1" xfId="0" applyFont="1" applyFill="1" applyBorder="1" applyAlignment="1"/>
    <xf numFmtId="169" fontId="0" fillId="4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Fill="1" applyBorder="1"/>
    <xf numFmtId="0" fontId="0" fillId="3" borderId="3" xfId="0" applyFill="1" applyBorder="1" applyAlignment="1">
      <alignment horizontal="center"/>
    </xf>
    <xf numFmtId="0" fontId="0" fillId="0" borderId="52" xfId="0" applyFill="1" applyBorder="1"/>
    <xf numFmtId="0" fontId="11" fillId="0" borderId="61" xfId="0" applyFont="1" applyFill="1" applyBorder="1"/>
    <xf numFmtId="2" fontId="0" fillId="0" borderId="0" xfId="0" applyNumberFormat="1" applyFill="1" applyBorder="1"/>
    <xf numFmtId="0" fontId="5" fillId="0" borderId="0" xfId="0" applyFont="1" applyBorder="1" applyAlignment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6" borderId="13" xfId="0" applyFill="1" applyBorder="1"/>
    <xf numFmtId="1" fontId="0" fillId="6" borderId="28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7" xfId="0" applyFill="1" applyBorder="1"/>
    <xf numFmtId="0" fontId="0" fillId="0" borderId="2" xfId="0" applyFill="1" applyBorder="1"/>
    <xf numFmtId="0" fontId="3" fillId="0" borderId="3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1" fontId="0" fillId="0" borderId="24" xfId="0" applyNumberFormat="1" applyBorder="1"/>
    <xf numFmtId="0" fontId="9" fillId="6" borderId="8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3" borderId="7" xfId="0" applyFill="1" applyBorder="1"/>
    <xf numFmtId="0" fontId="0" fillId="0" borderId="1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" xfId="0" applyFill="1" applyBorder="1"/>
    <xf numFmtId="0" fontId="0" fillId="7" borderId="2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7" fontId="0" fillId="3" borderId="1" xfId="0" applyNumberFormat="1" applyFill="1" applyBorder="1"/>
    <xf numFmtId="0" fontId="0" fillId="0" borderId="1" xfId="0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" xfId="0" applyFont="1" applyFill="1" applyBorder="1"/>
    <xf numFmtId="1" fontId="0" fillId="3" borderId="1" xfId="0" applyNumberFormat="1" applyFill="1" applyBorder="1"/>
    <xf numFmtId="0" fontId="0" fillId="0" borderId="0" xfId="0" applyFont="1" applyFill="1" applyBorder="1"/>
    <xf numFmtId="1" fontId="0" fillId="0" borderId="0" xfId="0" applyNumberFormat="1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13" xfId="0" applyFill="1" applyBorder="1"/>
    <xf numFmtId="0" fontId="0" fillId="9" borderId="14" xfId="0" applyFill="1" applyBorder="1"/>
    <xf numFmtId="0" fontId="0" fillId="0" borderId="61" xfId="0" applyFill="1" applyBorder="1"/>
    <xf numFmtId="0" fontId="0" fillId="0" borderId="10" xfId="0" applyFill="1" applyBorder="1"/>
    <xf numFmtId="0" fontId="0" fillId="0" borderId="24" xfId="0" applyFill="1" applyBorder="1"/>
    <xf numFmtId="0" fontId="9" fillId="0" borderId="1" xfId="0" applyFont="1" applyBorder="1" applyAlignment="1">
      <alignment horizontal="center" vertical="center"/>
    </xf>
    <xf numFmtId="0" fontId="0" fillId="9" borderId="0" xfId="0" applyFill="1" applyBorder="1"/>
    <xf numFmtId="0" fontId="0" fillId="9" borderId="28" xfId="0" applyFill="1" applyBorder="1"/>
    <xf numFmtId="1" fontId="0" fillId="0" borderId="1" xfId="0" applyNumberFormat="1" applyBorder="1"/>
    <xf numFmtId="166" fontId="0" fillId="11" borderId="7" xfId="0" applyNumberFormat="1" applyFill="1" applyBorder="1" applyAlignment="1">
      <alignment horizontal="center"/>
    </xf>
    <xf numFmtId="0" fontId="13" fillId="11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/>
    </xf>
    <xf numFmtId="0" fontId="0" fillId="9" borderId="0" xfId="0" applyFill="1" applyBorder="1" applyAlignment="1">
      <alignment horizontal="left"/>
    </xf>
    <xf numFmtId="166" fontId="0" fillId="0" borderId="0" xfId="0" applyNumberFormat="1" applyFill="1" applyBorder="1"/>
    <xf numFmtId="0" fontId="11" fillId="0" borderId="0" xfId="0" applyFont="1" applyFill="1" applyBorder="1"/>
    <xf numFmtId="0" fontId="5" fillId="0" borderId="9" xfId="0" applyFont="1" applyBorder="1"/>
    <xf numFmtId="0" fontId="0" fillId="3" borderId="1" xfId="0" applyNumberFormat="1" applyFill="1" applyBorder="1"/>
    <xf numFmtId="0" fontId="6" fillId="0" borderId="9" xfId="0" applyFont="1" applyBorder="1" applyAlignment="1"/>
    <xf numFmtId="0" fontId="0" fillId="0" borderId="61" xfId="0" applyBorder="1" applyAlignment="1"/>
    <xf numFmtId="0" fontId="0" fillId="0" borderId="10" xfId="0" applyBorder="1" applyAlignment="1"/>
    <xf numFmtId="0" fontId="0" fillId="0" borderId="0" xfId="0" applyAlignment="1"/>
    <xf numFmtId="0" fontId="0" fillId="10" borderId="62" xfId="0" applyFill="1" applyBorder="1"/>
    <xf numFmtId="2" fontId="0" fillId="10" borderId="62" xfId="0" applyNumberFormat="1" applyFill="1" applyBorder="1"/>
    <xf numFmtId="0" fontId="0" fillId="4" borderId="1" xfId="0" applyFill="1" applyBorder="1" applyAlignment="1"/>
    <xf numFmtId="1" fontId="0" fillId="10" borderId="62" xfId="0" applyNumberFormat="1" applyFill="1" applyBorder="1"/>
    <xf numFmtId="2" fontId="0" fillId="0" borderId="3" xfId="0" applyNumberFormat="1" applyBorder="1"/>
    <xf numFmtId="2" fontId="0" fillId="0" borderId="0" xfId="0" applyNumberFormat="1"/>
    <xf numFmtId="0" fontId="12" fillId="0" borderId="0" xfId="0" applyFont="1"/>
    <xf numFmtId="2" fontId="0" fillId="0" borderId="0" xfId="0" applyNumberFormat="1" applyBorder="1"/>
    <xf numFmtId="0" fontId="16" fillId="0" borderId="0" xfId="0" applyFont="1"/>
    <xf numFmtId="0" fontId="0" fillId="9" borderId="9" xfId="0" applyFill="1" applyBorder="1"/>
    <xf numFmtId="0" fontId="0" fillId="9" borderId="61" xfId="0" applyFill="1" applyBorder="1" applyAlignment="1">
      <alignment horizontal="left"/>
    </xf>
    <xf numFmtId="0" fontId="0" fillId="9" borderId="61" xfId="0" applyFill="1" applyBorder="1"/>
    <xf numFmtId="0" fontId="0" fillId="9" borderId="10" xfId="0" applyFill="1" applyBorder="1" applyAlignment="1">
      <alignment horizontal="left"/>
    </xf>
    <xf numFmtId="0" fontId="0" fillId="9" borderId="11" xfId="0" applyFill="1" applyBorder="1" applyAlignment="1">
      <alignment horizontal="left"/>
    </xf>
    <xf numFmtId="0" fontId="0" fillId="9" borderId="13" xfId="0" applyFill="1" applyBorder="1" applyAlignment="1">
      <alignment horizontal="left"/>
    </xf>
    <xf numFmtId="0" fontId="0" fillId="9" borderId="28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166" fontId="0" fillId="0" borderId="7" xfId="0" applyNumberForma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NumberFormat="1" applyFill="1"/>
    <xf numFmtId="165" fontId="0" fillId="3" borderId="1" xfId="0" applyNumberFormat="1" applyFill="1" applyBorder="1"/>
    <xf numFmtId="165" fontId="0" fillId="10" borderId="62" xfId="0" applyNumberFormat="1" applyFill="1" applyBorder="1"/>
    <xf numFmtId="0" fontId="3" fillId="0" borderId="0" xfId="0" applyFont="1"/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11" borderId="8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2" xfId="0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6" fillId="6" borderId="8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6" borderId="8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7" fillId="0" borderId="52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8" borderId="7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1" fontId="0" fillId="3" borderId="1" xfId="0" applyNumberForma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8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6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1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0" fillId="0" borderId="18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8" xfId="0" applyBorder="1" applyAlignment="1">
      <alignment horizontal="left" wrapText="1"/>
    </xf>
    <xf numFmtId="0" fontId="0" fillId="0" borderId="24" xfId="0" applyBorder="1" applyAlignment="1">
      <alignment horizontal="left" wrapText="1"/>
    </xf>
  </cellXfs>
  <cellStyles count="2">
    <cellStyle name="Komma" xfId="1" builtinId="3"/>
    <cellStyle name="Normal" xfId="0" builtinId="0"/>
  </cellStyles>
  <dxfs count="2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4" workbookViewId="0">
      <selection activeCell="F46" sqref="F46"/>
    </sheetView>
  </sheetViews>
  <sheetFormatPr defaultRowHeight="15" x14ac:dyDescent="0.25"/>
  <cols>
    <col min="1" max="1" width="12.140625" customWidth="1"/>
    <col min="5" max="5" width="10.7109375" customWidth="1"/>
    <col min="6" max="6" width="7.85546875" customWidth="1"/>
    <col min="7" max="7" width="13.85546875" customWidth="1"/>
    <col min="9" max="9" width="8.5703125" customWidth="1"/>
    <col min="10" max="10" width="13" customWidth="1"/>
    <col min="11" max="11" width="7" customWidth="1"/>
    <col min="12" max="12" width="6.85546875" customWidth="1"/>
  </cols>
  <sheetData>
    <row r="1" spans="1:12" s="206" customFormat="1" ht="18.75" x14ac:dyDescent="0.3">
      <c r="A1" s="206" t="s">
        <v>334</v>
      </c>
    </row>
    <row r="3" spans="1:12" x14ac:dyDescent="0.25">
      <c r="A3" s="204" t="s">
        <v>333</v>
      </c>
      <c r="F3" s="21"/>
      <c r="G3" s="107" t="s">
        <v>224</v>
      </c>
    </row>
    <row r="4" spans="1:12" ht="15.75" x14ac:dyDescent="0.25">
      <c r="A4" s="192" t="s">
        <v>0</v>
      </c>
      <c r="B4" s="98"/>
      <c r="C4" s="98"/>
      <c r="D4" s="98"/>
      <c r="E4" s="97"/>
      <c r="F4" s="21"/>
      <c r="G4" s="192" t="s">
        <v>288</v>
      </c>
      <c r="H4" s="98"/>
      <c r="I4" s="98"/>
      <c r="J4" s="98"/>
      <c r="K4" s="98"/>
      <c r="L4" s="97"/>
    </row>
    <row r="5" spans="1:12" x14ac:dyDescent="0.25">
      <c r="A5" s="1" t="s">
        <v>292</v>
      </c>
      <c r="B5" s="13">
        <v>20000</v>
      </c>
      <c r="C5" s="1" t="s">
        <v>4</v>
      </c>
      <c r="D5" s="21"/>
      <c r="E5" s="18"/>
      <c r="F5" s="21"/>
      <c r="G5" s="1" t="s">
        <v>293</v>
      </c>
      <c r="H5" s="13" t="s">
        <v>337</v>
      </c>
      <c r="I5" s="1" t="s">
        <v>76</v>
      </c>
      <c r="J5" s="21"/>
      <c r="K5" s="21"/>
      <c r="L5" s="18"/>
    </row>
    <row r="6" spans="1:12" x14ac:dyDescent="0.25">
      <c r="A6" s="1" t="s">
        <v>294</v>
      </c>
      <c r="B6" s="13">
        <v>690</v>
      </c>
      <c r="C6" s="1" t="s">
        <v>4</v>
      </c>
      <c r="D6" s="21"/>
      <c r="E6" s="18"/>
      <c r="F6" s="21"/>
      <c r="G6" s="1" t="s">
        <v>295</v>
      </c>
      <c r="H6" s="13">
        <v>0.20599999999999999</v>
      </c>
      <c r="I6" s="1" t="s">
        <v>296</v>
      </c>
      <c r="J6" s="21"/>
      <c r="K6" s="21"/>
      <c r="L6" s="18"/>
    </row>
    <row r="7" spans="1:12" x14ac:dyDescent="0.25">
      <c r="A7" s="1" t="s">
        <v>297</v>
      </c>
      <c r="B7" s="13">
        <v>20000</v>
      </c>
      <c r="C7" s="1" t="s">
        <v>4</v>
      </c>
      <c r="D7" s="21"/>
      <c r="E7" s="18"/>
      <c r="F7" s="21"/>
      <c r="G7" s="1" t="s">
        <v>298</v>
      </c>
      <c r="H7" s="13">
        <v>0.13</v>
      </c>
      <c r="I7" s="1" t="s">
        <v>296</v>
      </c>
      <c r="J7" s="21"/>
      <c r="K7" s="21"/>
      <c r="L7" s="18"/>
    </row>
    <row r="8" spans="1:12" x14ac:dyDescent="0.25">
      <c r="A8" s="1" t="s">
        <v>299</v>
      </c>
      <c r="B8" s="13">
        <v>690</v>
      </c>
      <c r="C8" s="1" t="s">
        <v>4</v>
      </c>
      <c r="D8" s="21"/>
      <c r="E8" s="18"/>
      <c r="F8" s="21"/>
      <c r="G8" s="1" t="s">
        <v>300</v>
      </c>
      <c r="H8" s="13">
        <v>11</v>
      </c>
      <c r="I8" s="1" t="s">
        <v>301</v>
      </c>
      <c r="J8" s="21"/>
      <c r="K8" s="21"/>
      <c r="L8" s="18"/>
    </row>
    <row r="9" spans="1:12" x14ac:dyDescent="0.25">
      <c r="A9" s="1" t="s">
        <v>302</v>
      </c>
      <c r="B9" s="13">
        <v>800</v>
      </c>
      <c r="C9" s="1" t="s">
        <v>1</v>
      </c>
      <c r="D9" s="21"/>
      <c r="E9" s="18"/>
      <c r="F9" s="21"/>
      <c r="G9" s="1" t="s">
        <v>303</v>
      </c>
      <c r="H9" s="13">
        <v>11</v>
      </c>
      <c r="I9" s="1" t="s">
        <v>301</v>
      </c>
      <c r="J9" s="21"/>
      <c r="K9" s="21"/>
      <c r="L9" s="18"/>
    </row>
    <row r="10" spans="1:12" x14ac:dyDescent="0.25">
      <c r="A10" s="1" t="s">
        <v>16</v>
      </c>
      <c r="B10" s="193">
        <v>6</v>
      </c>
      <c r="C10" s="1" t="s">
        <v>18</v>
      </c>
      <c r="D10" s="21"/>
      <c r="E10" s="18"/>
      <c r="F10" s="21"/>
      <c r="G10" s="1" t="s">
        <v>304</v>
      </c>
      <c r="H10" s="38">
        <f>H8*H6</f>
        <v>2.266</v>
      </c>
      <c r="I10" s="1" t="s">
        <v>305</v>
      </c>
      <c r="J10" s="1" t="s">
        <v>306</v>
      </c>
      <c r="K10" s="38">
        <f>H9*H6</f>
        <v>2.266</v>
      </c>
      <c r="L10" s="1" t="s">
        <v>305</v>
      </c>
    </row>
    <row r="11" spans="1:12" x14ac:dyDescent="0.25">
      <c r="A11" s="181" t="s">
        <v>15</v>
      </c>
      <c r="B11" s="218">
        <v>1</v>
      </c>
      <c r="C11" s="181" t="s">
        <v>18</v>
      </c>
      <c r="D11" s="21"/>
      <c r="E11" s="18"/>
      <c r="F11" s="21"/>
      <c r="G11" s="1" t="s">
        <v>309</v>
      </c>
      <c r="H11" s="38">
        <f>H8*H7</f>
        <v>1.4300000000000002</v>
      </c>
      <c r="I11" s="1" t="s">
        <v>305</v>
      </c>
      <c r="J11" s="1" t="s">
        <v>310</v>
      </c>
      <c r="K11" s="38">
        <f>H9*H7</f>
        <v>1.4300000000000002</v>
      </c>
      <c r="L11" s="1" t="s">
        <v>305</v>
      </c>
    </row>
    <row r="12" spans="1:12" x14ac:dyDescent="0.25">
      <c r="A12" s="1" t="s">
        <v>307</v>
      </c>
      <c r="B12" s="13"/>
      <c r="C12" s="1" t="s">
        <v>308</v>
      </c>
      <c r="D12" s="21"/>
      <c r="E12" s="18"/>
      <c r="F12" s="21"/>
      <c r="G12" s="1" t="s">
        <v>312</v>
      </c>
      <c r="H12" s="38">
        <f>SQRT(H10^2+H11^2)</f>
        <v>2.6794880107960926</v>
      </c>
      <c r="I12" s="1" t="s">
        <v>305</v>
      </c>
      <c r="J12" s="1" t="s">
        <v>313</v>
      </c>
      <c r="K12" s="38">
        <f>SQRT(K10^2+K11^2)</f>
        <v>2.6794880107960926</v>
      </c>
      <c r="L12" s="1" t="s">
        <v>305</v>
      </c>
    </row>
    <row r="13" spans="1:12" x14ac:dyDescent="0.25">
      <c r="A13" s="1" t="s">
        <v>311</v>
      </c>
      <c r="B13" s="13">
        <v>1360</v>
      </c>
      <c r="C13" s="1" t="s">
        <v>308</v>
      </c>
      <c r="D13" s="21"/>
      <c r="E13" s="18"/>
      <c r="F13" s="21"/>
      <c r="G13" s="1" t="s">
        <v>314</v>
      </c>
      <c r="H13" s="38">
        <f>DEGREES(ACOS(H10/H12))</f>
        <v>32.254710526867157</v>
      </c>
      <c r="I13" s="1" t="s">
        <v>315</v>
      </c>
      <c r="J13" s="1" t="s">
        <v>314</v>
      </c>
      <c r="K13" s="38">
        <f>DEGREES(ACOS(K10/K12))</f>
        <v>32.254710526867157</v>
      </c>
      <c r="L13" s="1" t="s">
        <v>315</v>
      </c>
    </row>
    <row r="14" spans="1:12" x14ac:dyDescent="0.25">
      <c r="A14" s="1" t="s">
        <v>21</v>
      </c>
      <c r="B14" s="35">
        <f>B5/B6</f>
        <v>28.985507246376812</v>
      </c>
      <c r="C14" s="1"/>
      <c r="D14" s="21"/>
      <c r="E14" s="18"/>
      <c r="F14" s="21"/>
      <c r="G14" s="29"/>
      <c r="H14" s="134"/>
      <c r="I14" s="29"/>
      <c r="J14" s="29"/>
      <c r="K14" s="134"/>
      <c r="L14" s="29"/>
    </row>
    <row r="15" spans="1:12" x14ac:dyDescent="0.25">
      <c r="A15" s="223"/>
      <c r="B15" s="224"/>
      <c r="C15" s="225"/>
      <c r="D15" s="21"/>
      <c r="E15" s="18"/>
      <c r="F15" s="21"/>
    </row>
    <row r="16" spans="1:12" ht="15" customHeight="1" x14ac:dyDescent="0.25">
      <c r="A16" s="1" t="s">
        <v>316</v>
      </c>
      <c r="B16" s="38">
        <f>B9*10^3/(SQRT(3)*B6)</f>
        <v>669.39161645173999</v>
      </c>
      <c r="C16" s="1" t="s">
        <v>6</v>
      </c>
      <c r="D16" s="21"/>
      <c r="E16" s="18"/>
      <c r="F16" s="21"/>
      <c r="G16" s="192" t="s">
        <v>88</v>
      </c>
      <c r="H16" s="98"/>
      <c r="I16" s="98"/>
      <c r="J16" s="98"/>
      <c r="K16" s="97"/>
    </row>
    <row r="17" spans="1:11" x14ac:dyDescent="0.25">
      <c r="A17" s="1" t="s">
        <v>22</v>
      </c>
      <c r="B17" s="37">
        <f>B6^2*B10/(B9*10^3*100)</f>
        <v>3.5707500000000003E-2</v>
      </c>
      <c r="C17" s="1" t="s">
        <v>305</v>
      </c>
      <c r="D17" s="21"/>
      <c r="E17" s="18"/>
      <c r="F17" s="21"/>
      <c r="G17" s="1" t="s">
        <v>8</v>
      </c>
      <c r="H17" s="13">
        <v>90</v>
      </c>
      <c r="I17" s="1" t="s">
        <v>9</v>
      </c>
      <c r="J17" s="21"/>
      <c r="K17" s="18"/>
    </row>
    <row r="18" spans="1:11" x14ac:dyDescent="0.25">
      <c r="A18" s="1" t="s">
        <v>84</v>
      </c>
      <c r="B18" s="37">
        <f>IF(B12&gt;0,B12/(3*B16^2),IF(B12=0,B17*B19,""))</f>
        <v>5.9512499999999999E-3</v>
      </c>
      <c r="C18" s="1" t="s">
        <v>305</v>
      </c>
      <c r="D18" s="21"/>
      <c r="E18" s="18"/>
      <c r="F18" s="21"/>
      <c r="G18" s="1" t="s">
        <v>25</v>
      </c>
      <c r="H18" s="219">
        <v>3.9E-2</v>
      </c>
      <c r="I18" s="169" t="s">
        <v>19</v>
      </c>
      <c r="J18" s="38">
        <f>DEGREES(ACOS(H18))</f>
        <v>87.76489775620432</v>
      </c>
      <c r="K18" s="1" t="s">
        <v>315</v>
      </c>
    </row>
    <row r="19" spans="1:11" x14ac:dyDescent="0.25">
      <c r="A19" s="1" t="s">
        <v>317</v>
      </c>
      <c r="B19" s="38">
        <f>IF(B11=0,B18/B17,IF(B12=0,B11/B10,""))</f>
        <v>0.16666666666666666</v>
      </c>
      <c r="C19" s="169" t="s">
        <v>19</v>
      </c>
      <c r="D19" s="38">
        <f>DEGREES(ACOS(B19))</f>
        <v>80.405931773139542</v>
      </c>
      <c r="E19" s="1" t="s">
        <v>315</v>
      </c>
      <c r="F19" s="21"/>
      <c r="G19" s="1" t="s">
        <v>10</v>
      </c>
      <c r="H19" s="13">
        <v>42</v>
      </c>
      <c r="I19" s="1" t="s">
        <v>9</v>
      </c>
      <c r="J19" s="226"/>
      <c r="K19" s="227"/>
    </row>
    <row r="20" spans="1:11" x14ac:dyDescent="0.25">
      <c r="F20" s="21"/>
      <c r="G20" s="1" t="s">
        <v>25</v>
      </c>
      <c r="H20" s="13">
        <v>0.17699999999999999</v>
      </c>
      <c r="I20" s="169" t="s">
        <v>19</v>
      </c>
      <c r="J20" s="38">
        <f>DEGREES(ACOS(H20))</f>
        <v>79.804933191151278</v>
      </c>
      <c r="K20" s="1" t="s">
        <v>315</v>
      </c>
    </row>
    <row r="21" spans="1:11" x14ac:dyDescent="0.25">
      <c r="F21" s="21"/>
      <c r="G21" s="1" t="s">
        <v>13</v>
      </c>
      <c r="H21" s="38">
        <f>B7^2/(H19*10^6)</f>
        <v>9.5238095238095237</v>
      </c>
      <c r="I21" s="1" t="s">
        <v>11</v>
      </c>
      <c r="J21" s="21"/>
      <c r="K21" s="18"/>
    </row>
    <row r="22" spans="1:11" x14ac:dyDescent="0.25">
      <c r="F22" s="21"/>
      <c r="G22" s="1" t="s">
        <v>14</v>
      </c>
      <c r="H22" s="38">
        <f>B7^2/(H17*10^6)</f>
        <v>4.4444444444444446</v>
      </c>
      <c r="I22" s="1" t="s">
        <v>11</v>
      </c>
      <c r="J22" s="99"/>
      <c r="K22" s="20"/>
    </row>
    <row r="23" spans="1:11" x14ac:dyDescent="0.25">
      <c r="F23" s="21"/>
    </row>
    <row r="25" spans="1:11" ht="15.75" x14ac:dyDescent="0.25">
      <c r="A25" s="8" t="s">
        <v>318</v>
      </c>
    </row>
    <row r="26" spans="1:11" x14ac:dyDescent="0.25">
      <c r="A26" s="194" t="s">
        <v>319</v>
      </c>
      <c r="B26" s="195"/>
      <c r="C26" s="196"/>
      <c r="D26" s="197"/>
      <c r="E26" s="194" t="s">
        <v>320</v>
      </c>
      <c r="F26" s="195"/>
      <c r="G26" s="196"/>
    </row>
    <row r="27" spans="1:11" x14ac:dyDescent="0.25">
      <c r="A27" s="1" t="s">
        <v>329</v>
      </c>
      <c r="B27" s="35">
        <f>'KB regning'!C12</f>
        <v>6.3576512737749358</v>
      </c>
      <c r="C27" s="1" t="s">
        <v>305</v>
      </c>
      <c r="E27" s="17"/>
      <c r="F27" s="21"/>
      <c r="G27" s="18"/>
    </row>
    <row r="28" spans="1:11" x14ac:dyDescent="0.25">
      <c r="A28" s="223"/>
      <c r="B28" s="224"/>
      <c r="C28" s="225"/>
      <c r="E28" s="17"/>
      <c r="F28" s="21"/>
      <c r="G28" s="18"/>
    </row>
    <row r="29" spans="1:11" ht="15.75" thickBot="1" x14ac:dyDescent="0.3">
      <c r="A29" s="1" t="s">
        <v>36</v>
      </c>
      <c r="B29" s="198">
        <f>B7/(SQRT(3)*B27)</f>
        <v>1816.2376145768587</v>
      </c>
      <c r="C29" s="198" t="s">
        <v>6</v>
      </c>
      <c r="E29" s="1" t="s">
        <v>339</v>
      </c>
      <c r="F29" s="199">
        <f>B7^2/(B27)*10^-6</f>
        <v>62.916316541296375</v>
      </c>
      <c r="G29" s="198" t="s">
        <v>9</v>
      </c>
    </row>
    <row r="30" spans="1:11" ht="15.75" thickTop="1" x14ac:dyDescent="0.25"/>
    <row r="31" spans="1:11" x14ac:dyDescent="0.25">
      <c r="A31" s="194" t="s">
        <v>323</v>
      </c>
      <c r="B31" s="195"/>
      <c r="C31" s="196"/>
      <c r="D31" s="197"/>
      <c r="E31" s="194" t="s">
        <v>324</v>
      </c>
      <c r="F31" s="195"/>
      <c r="G31" s="196"/>
    </row>
    <row r="32" spans="1:11" x14ac:dyDescent="0.25">
      <c r="A32" s="1" t="s">
        <v>325</v>
      </c>
      <c r="B32" s="35">
        <f>'KB regning'!C6</f>
        <v>11.503490335253694</v>
      </c>
      <c r="C32" s="1" t="s">
        <v>305</v>
      </c>
      <c r="E32" s="17"/>
      <c r="F32" s="21"/>
      <c r="G32" s="18"/>
    </row>
    <row r="33" spans="1:7" x14ac:dyDescent="0.25">
      <c r="A33" s="223"/>
      <c r="B33" s="224"/>
      <c r="C33" s="225"/>
      <c r="E33" s="17"/>
      <c r="F33" s="21"/>
      <c r="G33" s="18"/>
    </row>
    <row r="34" spans="1:7" ht="15.75" thickBot="1" x14ac:dyDescent="0.3">
      <c r="A34" s="1" t="s">
        <v>38</v>
      </c>
      <c r="B34" s="198">
        <f>B7/(SQRT(3)*B32)</f>
        <v>1003.7827691657604</v>
      </c>
      <c r="C34" s="198" t="s">
        <v>6</v>
      </c>
      <c r="E34" s="94" t="s">
        <v>340</v>
      </c>
      <c r="F34" s="199">
        <f>B7^2/(B32)*10^-6</f>
        <v>34.772055119145584</v>
      </c>
      <c r="G34" s="198" t="s">
        <v>9</v>
      </c>
    </row>
    <row r="35" spans="1:7" ht="15.75" thickTop="1" x14ac:dyDescent="0.25"/>
    <row r="37" spans="1:7" ht="15.75" x14ac:dyDescent="0.25">
      <c r="A37" s="8" t="s">
        <v>328</v>
      </c>
    </row>
    <row r="38" spans="1:7" x14ac:dyDescent="0.25">
      <c r="A38" s="194" t="s">
        <v>319</v>
      </c>
      <c r="B38" s="195"/>
      <c r="C38" s="196"/>
      <c r="D38" s="197"/>
      <c r="E38" s="194" t="s">
        <v>320</v>
      </c>
      <c r="F38" s="195"/>
      <c r="G38" s="196"/>
    </row>
    <row r="39" spans="1:7" x14ac:dyDescent="0.25">
      <c r="A39" s="1" t="s">
        <v>341</v>
      </c>
      <c r="B39" s="35">
        <f>'KB regning'!C12/'Transformers kortslutningseffek'!B14^2</f>
        <v>7.5671944286106177E-3</v>
      </c>
      <c r="C39" s="1" t="s">
        <v>305</v>
      </c>
      <c r="E39" s="17"/>
      <c r="F39" s="21"/>
      <c r="G39" s="18"/>
    </row>
    <row r="40" spans="1:7" x14ac:dyDescent="0.25">
      <c r="A40" s="152" t="s">
        <v>34</v>
      </c>
      <c r="B40" s="200">
        <f>'KB regning'!J12</f>
        <v>4.3115150523925165E-2</v>
      </c>
      <c r="C40" s="152" t="s">
        <v>305</v>
      </c>
      <c r="E40" s="17"/>
      <c r="F40" s="21"/>
      <c r="G40" s="18"/>
    </row>
    <row r="41" spans="1:7" ht="15.75" thickBot="1" x14ac:dyDescent="0.3">
      <c r="A41" s="1" t="s">
        <v>321</v>
      </c>
      <c r="B41" s="198">
        <f>B8/(SQRT(3)*B40)</f>
        <v>9239.7145991588295</v>
      </c>
      <c r="C41" s="198" t="s">
        <v>6</v>
      </c>
      <c r="E41" s="1" t="s">
        <v>322</v>
      </c>
      <c r="F41" s="201">
        <f>B8^2/(B40)*10^-6</f>
        <v>11.042522041893506</v>
      </c>
      <c r="G41" s="198" t="s">
        <v>9</v>
      </c>
    </row>
    <row r="42" spans="1:7" ht="15.75" thickTop="1" x14ac:dyDescent="0.25"/>
    <row r="43" spans="1:7" x14ac:dyDescent="0.25">
      <c r="A43" s="194" t="s">
        <v>323</v>
      </c>
      <c r="B43" s="195"/>
      <c r="C43" s="196"/>
      <c r="D43" s="197"/>
      <c r="E43" s="194" t="s">
        <v>324</v>
      </c>
      <c r="F43" s="195"/>
      <c r="G43" s="196"/>
    </row>
    <row r="44" spans="1:7" x14ac:dyDescent="0.25">
      <c r="A44" s="1" t="s">
        <v>338</v>
      </c>
      <c r="B44" s="35">
        <f>'KB regning'!C6/B14^2</f>
        <v>1.369202937153571E-2</v>
      </c>
      <c r="C44" s="1" t="s">
        <v>305</v>
      </c>
      <c r="E44" s="17"/>
      <c r="F44" s="21"/>
      <c r="G44" s="18"/>
    </row>
    <row r="45" spans="1:7" x14ac:dyDescent="0.25">
      <c r="A45" s="152" t="s">
        <v>30</v>
      </c>
      <c r="B45" s="200">
        <f>'KB regning'!J6</f>
        <v>4.9233599842848648E-2</v>
      </c>
      <c r="C45" s="152" t="s">
        <v>305</v>
      </c>
      <c r="E45" s="17"/>
      <c r="F45" s="21"/>
      <c r="G45" s="18"/>
    </row>
    <row r="46" spans="1:7" ht="15.75" thickBot="1" x14ac:dyDescent="0.3">
      <c r="A46" s="3" t="s">
        <v>326</v>
      </c>
      <c r="B46" s="198">
        <f>B8/(SQRT(3)*B45)</f>
        <v>8091.4596335109691</v>
      </c>
      <c r="C46" s="198" t="s">
        <v>6</v>
      </c>
      <c r="E46" s="94" t="s">
        <v>327</v>
      </c>
      <c r="F46" s="220">
        <f>B8^2/(B45)*10^-6</f>
        <v>9.6702252429172137</v>
      </c>
      <c r="G46" s="198" t="s">
        <v>9</v>
      </c>
    </row>
    <row r="47" spans="1:7" ht="16.5" thickTop="1" thickBot="1" x14ac:dyDescent="0.3">
      <c r="A47" s="94" t="s">
        <v>330</v>
      </c>
      <c r="B47" s="198">
        <f>B46*SQRT(3)/2</f>
        <v>7007.4095963168229</v>
      </c>
      <c r="C47" s="198" t="s">
        <v>6</v>
      </c>
      <c r="E47" s="29"/>
      <c r="F47" s="174"/>
      <c r="G47" s="29"/>
    </row>
    <row r="48" spans="1:7" ht="15.75" thickTop="1" x14ac:dyDescent="0.25">
      <c r="A48" t="s">
        <v>331</v>
      </c>
    </row>
  </sheetData>
  <mergeCells count="4">
    <mergeCell ref="A15:C15"/>
    <mergeCell ref="J19:K19"/>
    <mergeCell ref="A28:C28"/>
    <mergeCell ref="A33:C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"/>
  <sheetViews>
    <sheetView topLeftCell="E1" workbookViewId="0">
      <selection activeCell="D16" sqref="D16"/>
    </sheetView>
  </sheetViews>
  <sheetFormatPr defaultRowHeight="15" x14ac:dyDescent="0.25"/>
  <sheetData>
    <row r="2" spans="2:13" x14ac:dyDescent="0.25">
      <c r="B2" t="str">
        <f>'Transformers kortslutningseffek'!G21</f>
        <v>Z_n_max_2</v>
      </c>
      <c r="C2" t="s">
        <v>332</v>
      </c>
      <c r="D2" t="str">
        <f>'Transformers kortslutningseffek'!G12</f>
        <v>Z_kabel_max</v>
      </c>
      <c r="I2" t="str">
        <f>'Transformers kortslutningseffek'!A44</f>
        <v>Z'_max_T_2</v>
      </c>
      <c r="J2" t="s">
        <v>332</v>
      </c>
      <c r="K2" t="str">
        <f>'Transformers kortslutningseffek'!A17</f>
        <v>Z_T</v>
      </c>
    </row>
    <row r="3" spans="2:13" x14ac:dyDescent="0.25">
      <c r="B3" s="1"/>
      <c r="C3" s="1"/>
      <c r="D3" s="1" t="s">
        <v>27</v>
      </c>
      <c r="E3" s="1" t="s">
        <v>28</v>
      </c>
      <c r="F3" s="1" t="s">
        <v>29</v>
      </c>
      <c r="I3" s="1"/>
      <c r="J3" s="1"/>
      <c r="K3" s="1" t="s">
        <v>27</v>
      </c>
      <c r="L3" s="1" t="s">
        <v>28</v>
      </c>
      <c r="M3" s="1" t="s">
        <v>29</v>
      </c>
    </row>
    <row r="4" spans="2:13" x14ac:dyDescent="0.25">
      <c r="B4" s="1" t="s">
        <v>23</v>
      </c>
      <c r="C4" s="1">
        <f>'Transformers kortslutningseffek'!H21</f>
        <v>9.5238095238095237</v>
      </c>
      <c r="D4" s="1">
        <f>'Transformers kortslutningseffek'!J20</f>
        <v>79.804933191151278</v>
      </c>
      <c r="E4" s="1">
        <f>C4*COS(D4*PI()/180)</f>
        <v>1.6857142857142853</v>
      </c>
      <c r="F4" s="1">
        <f>C4*SIN(D4*PI()/180)</f>
        <v>9.3734366799346205</v>
      </c>
      <c r="I4" s="1" t="s">
        <v>23</v>
      </c>
      <c r="J4" s="1">
        <f>'Transformers kortslutningseffek'!B44</f>
        <v>1.369202937153571E-2</v>
      </c>
      <c r="K4" s="1">
        <f>D6</f>
        <v>69.908335641522811</v>
      </c>
      <c r="L4" s="1">
        <f>J4*COS(K4*PI()/180)</f>
        <v>4.7035279285714288E-3</v>
      </c>
      <c r="M4" s="1">
        <f>J4*SIN(K4*PI()/180)</f>
        <v>1.2858790508292183E-2</v>
      </c>
    </row>
    <row r="5" spans="2:13" ht="15.75" thickBot="1" x14ac:dyDescent="0.3">
      <c r="B5" s="3" t="s">
        <v>24</v>
      </c>
      <c r="C5" s="3">
        <f>'Transformers kortslutningseffek'!H12</f>
        <v>2.6794880107960926</v>
      </c>
      <c r="D5" s="3">
        <f>'Transformers kortslutningseffek'!H13</f>
        <v>32.254710526867157</v>
      </c>
      <c r="E5" s="3">
        <f>C5*COS(D5*PI()/180)</f>
        <v>2.266</v>
      </c>
      <c r="F5" s="3">
        <f>C5*SIN(D5*PI()/180)</f>
        <v>1.4300000000000004</v>
      </c>
      <c r="I5" s="3" t="s">
        <v>24</v>
      </c>
      <c r="J5" s="202">
        <f>'Transformers kortslutningseffek'!B17</f>
        <v>3.5707500000000003E-2</v>
      </c>
      <c r="K5" s="202">
        <f>'Transformers kortslutningseffek'!D19</f>
        <v>80.405931773139542</v>
      </c>
      <c r="L5" s="3">
        <f>J5*COS(K5*PI()/180)</f>
        <v>5.9512500000000008E-3</v>
      </c>
      <c r="M5" s="3">
        <f>J5*SIN(K5*PI()/180)</f>
        <v>3.5208069809171592E-2</v>
      </c>
    </row>
    <row r="6" spans="2:13" ht="15.75" thickBot="1" x14ac:dyDescent="0.3">
      <c r="B6" s="4" t="s">
        <v>26</v>
      </c>
      <c r="C6" s="5">
        <f>SQRT(E6^2+F6^2)</f>
        <v>11.503490335253694</v>
      </c>
      <c r="D6" s="5">
        <f>DEGREES(ATAN2(E6,F6))</f>
        <v>69.908335641522811</v>
      </c>
      <c r="E6" s="5">
        <f>E4+E5</f>
        <v>3.9517142857142851</v>
      </c>
      <c r="F6" s="6">
        <f>F5+F4</f>
        <v>10.80343667993462</v>
      </c>
      <c r="I6" s="4" t="s">
        <v>26</v>
      </c>
      <c r="J6" s="5">
        <f>SQRT(L6^2+M6^2)</f>
        <v>4.9233599842848648E-2</v>
      </c>
      <c r="K6" s="5">
        <f>DEGREES(ATAN2(L6,M6))</f>
        <v>77.501577516795905</v>
      </c>
      <c r="L6" s="5">
        <f>L4+L5</f>
        <v>1.0654777928571429E-2</v>
      </c>
      <c r="M6" s="6">
        <f>M5+M4</f>
        <v>4.8066860317463773E-2</v>
      </c>
    </row>
    <row r="8" spans="2:13" x14ac:dyDescent="0.25">
      <c r="B8" s="203" t="str">
        <f>'Transformers kortslutningseffek'!G22</f>
        <v>Z_n_min_2</v>
      </c>
      <c r="C8" t="s">
        <v>332</v>
      </c>
      <c r="D8" t="str">
        <f>'Transformers kortslutningseffek'!J12</f>
        <v>Z_kabel_min</v>
      </c>
      <c r="I8" t="str">
        <f>'Transformers kortslutningseffek'!A39</f>
        <v>Z'_min</v>
      </c>
      <c r="J8" t="s">
        <v>332</v>
      </c>
      <c r="K8" t="str">
        <f>'Transformers kortslutningseffek'!A17</f>
        <v>Z_T</v>
      </c>
    </row>
    <row r="9" spans="2:13" x14ac:dyDescent="0.25">
      <c r="B9" s="1"/>
      <c r="C9" s="1"/>
      <c r="D9" s="1" t="s">
        <v>27</v>
      </c>
      <c r="E9" s="1" t="s">
        <v>28</v>
      </c>
      <c r="F9" s="1" t="s">
        <v>29</v>
      </c>
      <c r="I9" s="1"/>
      <c r="J9" s="1"/>
      <c r="K9" s="1" t="s">
        <v>27</v>
      </c>
      <c r="L9" s="1" t="s">
        <v>28</v>
      </c>
      <c r="M9" s="1" t="s">
        <v>29</v>
      </c>
    </row>
    <row r="10" spans="2:13" x14ac:dyDescent="0.25">
      <c r="B10" s="1" t="s">
        <v>23</v>
      </c>
      <c r="C10" s="1">
        <f>'Transformers kortslutningseffek'!H22</f>
        <v>4.4444444444444446</v>
      </c>
      <c r="D10" s="1">
        <f>'Transformers kortslutningseffek'!J18</f>
        <v>87.76489775620432</v>
      </c>
      <c r="E10" s="1">
        <f>C10*COS(D10*PI()/180)</f>
        <v>0.17333333333333273</v>
      </c>
      <c r="F10" s="1">
        <f>C10*SIN(D10*PI()/180)</f>
        <v>4.4410631582210858</v>
      </c>
      <c r="I10" s="1" t="s">
        <v>23</v>
      </c>
      <c r="J10" s="1">
        <f>'Transformers kortslutningseffek'!B39</f>
        <v>7.5671944286106177E-3</v>
      </c>
      <c r="K10" s="1">
        <f>'KB regning'!D12</f>
        <v>67.437892762981349</v>
      </c>
      <c r="L10" s="1">
        <f>J10*COS(K10*PI()/180)</f>
        <v>2.9034164999999991E-3</v>
      </c>
      <c r="M10" s="1">
        <f>J10*SIN(K10*PI()/180)</f>
        <v>6.9880329240726482E-3</v>
      </c>
    </row>
    <row r="11" spans="2:13" ht="15.75" thickBot="1" x14ac:dyDescent="0.3">
      <c r="B11" s="3" t="s">
        <v>24</v>
      </c>
      <c r="C11" s="3">
        <f>'Transformers kortslutningseffek'!K12</f>
        <v>2.6794880107960926</v>
      </c>
      <c r="D11" s="3">
        <f>'Transformers kortslutningseffek'!K13</f>
        <v>32.254710526867157</v>
      </c>
      <c r="E11" s="3">
        <f>C11*COS(D11*PI()/180)</f>
        <v>2.266</v>
      </c>
      <c r="F11" s="3">
        <f>C11*SIN(D11*PI()/180)</f>
        <v>1.4300000000000004</v>
      </c>
      <c r="I11" s="3" t="s">
        <v>24</v>
      </c>
      <c r="J11" s="202">
        <f>'Transformers kortslutningseffek'!B17</f>
        <v>3.5707500000000003E-2</v>
      </c>
      <c r="K11" s="202">
        <f>'Transformers kortslutningseffek'!D19</f>
        <v>80.405931773139542</v>
      </c>
      <c r="L11" s="3">
        <f>J11*COS(K11*PI()/180)</f>
        <v>5.9512500000000008E-3</v>
      </c>
      <c r="M11" s="3">
        <f>J11*SIN(K11*PI()/180)</f>
        <v>3.5208069809171592E-2</v>
      </c>
    </row>
    <row r="12" spans="2:13" ht="15.75" thickBot="1" x14ac:dyDescent="0.3">
      <c r="B12" s="4" t="s">
        <v>26</v>
      </c>
      <c r="C12" s="5">
        <f>SQRT(E12^2+F12^2)</f>
        <v>6.3576512737749358</v>
      </c>
      <c r="D12" s="5">
        <f>DEGREES(ATAN2(E12,F12))</f>
        <v>67.437892762981349</v>
      </c>
      <c r="E12" s="5">
        <f>E10+E11</f>
        <v>2.4393333333333329</v>
      </c>
      <c r="F12" s="6">
        <f>F11+F10</f>
        <v>5.8710631582210864</v>
      </c>
      <c r="I12" s="4" t="s">
        <v>26</v>
      </c>
      <c r="J12" s="5">
        <f>SQRT(L12^2+M12^2)</f>
        <v>4.3115150523925165E-2</v>
      </c>
      <c r="K12" s="5">
        <f>DEGREES(ATAN2(L12,M12))</f>
        <v>78.148693953671852</v>
      </c>
      <c r="L12" s="5">
        <f>L10+L11</f>
        <v>8.8546665000000004E-3</v>
      </c>
      <c r="M12" s="6">
        <f>M11+M10</f>
        <v>4.2196102733244242E-2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4"/>
  <sheetViews>
    <sheetView tabSelected="1" topLeftCell="A22" workbookViewId="0">
      <selection activeCell="E43" sqref="E43"/>
    </sheetView>
  </sheetViews>
  <sheetFormatPr defaultRowHeight="15" x14ac:dyDescent="0.25"/>
  <cols>
    <col min="2" max="2" width="10.7109375" customWidth="1"/>
    <col min="3" max="3" width="12.7109375" customWidth="1"/>
    <col min="4" max="4" width="10" customWidth="1"/>
    <col min="5" max="5" width="11.85546875" customWidth="1"/>
    <col min="6" max="6" width="5.7109375" customWidth="1"/>
    <col min="7" max="7" width="4.140625" customWidth="1"/>
    <col min="9" max="9" width="11.7109375" customWidth="1"/>
    <col min="10" max="10" width="13.140625" customWidth="1"/>
    <col min="11" max="11" width="11" customWidth="1"/>
    <col min="12" max="12" width="10.140625" customWidth="1"/>
    <col min="13" max="13" width="11.85546875" customWidth="1"/>
    <col min="14" max="14" width="9.42578125" customWidth="1"/>
    <col min="15" max="15" width="10.85546875" customWidth="1"/>
    <col min="16" max="16" width="7.28515625" customWidth="1"/>
    <col min="17" max="17" width="8" customWidth="1"/>
    <col min="19" max="19" width="12.140625" customWidth="1"/>
  </cols>
  <sheetData>
    <row r="1" spans="1:17" x14ac:dyDescent="0.25">
      <c r="A1" s="107" t="s">
        <v>223</v>
      </c>
      <c r="I1" s="107" t="s">
        <v>224</v>
      </c>
    </row>
    <row r="2" spans="1:17" ht="21" x14ac:dyDescent="0.35">
      <c r="B2" s="7" t="s">
        <v>40</v>
      </c>
      <c r="J2" s="119"/>
      <c r="K2" s="119"/>
      <c r="L2" s="119"/>
      <c r="M2" s="119"/>
      <c r="N2" s="119"/>
      <c r="O2" s="119"/>
    </row>
    <row r="3" spans="1:17" ht="15" customHeight="1" x14ac:dyDescent="0.25">
      <c r="B3" s="252" t="s">
        <v>219</v>
      </c>
      <c r="C3" s="253"/>
      <c r="D3" s="253"/>
      <c r="E3" s="254"/>
      <c r="I3" s="252" t="s">
        <v>152</v>
      </c>
      <c r="J3" s="253"/>
      <c r="K3" s="253"/>
      <c r="L3" s="253"/>
      <c r="M3" s="254"/>
      <c r="N3" s="120"/>
      <c r="O3" s="260" t="s">
        <v>220</v>
      </c>
      <c r="P3" s="260"/>
      <c r="Q3" s="260"/>
    </row>
    <row r="4" spans="1:17" x14ac:dyDescent="0.25">
      <c r="B4" s="232" t="s">
        <v>3</v>
      </c>
      <c r="C4" s="233"/>
      <c r="D4" s="13">
        <v>10000</v>
      </c>
      <c r="E4" s="1" t="s">
        <v>4</v>
      </c>
      <c r="I4" s="82" t="s">
        <v>8</v>
      </c>
      <c r="J4" s="110">
        <v>125</v>
      </c>
      <c r="K4" s="82" t="s">
        <v>9</v>
      </c>
      <c r="L4" s="271"/>
      <c r="M4" s="272"/>
      <c r="N4" s="115"/>
      <c r="O4" s="1" t="s">
        <v>36</v>
      </c>
      <c r="P4" s="123">
        <f>D5/(SQRT(3)*J13)</f>
        <v>16561.322666387463</v>
      </c>
      <c r="Q4" s="1" t="s">
        <v>6</v>
      </c>
    </row>
    <row r="5" spans="1:17" x14ac:dyDescent="0.25">
      <c r="B5" s="232" t="s">
        <v>5</v>
      </c>
      <c r="C5" s="233"/>
      <c r="D5" s="13">
        <v>400</v>
      </c>
      <c r="E5" s="1" t="s">
        <v>4</v>
      </c>
      <c r="I5" s="1" t="s">
        <v>25</v>
      </c>
      <c r="J5" s="13">
        <v>0.35</v>
      </c>
      <c r="K5" s="41" t="s">
        <v>19</v>
      </c>
      <c r="L5" s="34">
        <f>DEGREES(ACOS(J5))</f>
        <v>69.512684885277338</v>
      </c>
      <c r="M5" s="30" t="s">
        <v>20</v>
      </c>
      <c r="N5" s="121"/>
      <c r="O5" s="1" t="s">
        <v>37</v>
      </c>
      <c r="P5" s="123">
        <f>P4*SQRT(3)/2</f>
        <v>14342.526149362579</v>
      </c>
      <c r="Q5" s="1" t="s">
        <v>6</v>
      </c>
    </row>
    <row r="6" spans="1:17" x14ac:dyDescent="0.25">
      <c r="B6" s="232" t="s">
        <v>274</v>
      </c>
      <c r="C6" s="233"/>
      <c r="D6" s="13">
        <v>10000</v>
      </c>
      <c r="E6" s="1" t="s">
        <v>4</v>
      </c>
      <c r="I6" s="1" t="s">
        <v>10</v>
      </c>
      <c r="J6" s="13">
        <v>80</v>
      </c>
      <c r="K6" s="1" t="s">
        <v>9</v>
      </c>
      <c r="L6" s="1"/>
      <c r="M6" s="1"/>
      <c r="N6" s="29"/>
      <c r="O6" s="1" t="str">
        <f>IF(D21="TN","I'_kFN",IF(D21="TT","I'_kFPE",""))</f>
        <v>I'_kFN</v>
      </c>
      <c r="P6" s="123">
        <f>P4/(SQRT(3)*D17)</f>
        <v>382.46736398300209</v>
      </c>
      <c r="Q6" s="1" t="s">
        <v>6</v>
      </c>
    </row>
    <row r="7" spans="1:17" x14ac:dyDescent="0.25">
      <c r="B7" s="232" t="s">
        <v>275</v>
      </c>
      <c r="C7" s="233"/>
      <c r="D7" s="13">
        <v>400</v>
      </c>
      <c r="E7" s="1" t="s">
        <v>4</v>
      </c>
      <c r="I7" s="1" t="s">
        <v>25</v>
      </c>
      <c r="J7" s="13">
        <v>0.42</v>
      </c>
      <c r="K7" s="41" t="s">
        <v>19</v>
      </c>
      <c r="L7" s="34">
        <f>DEGREES(ACOS(J7))</f>
        <v>65.16541251029841</v>
      </c>
      <c r="M7" s="30" t="s">
        <v>20</v>
      </c>
      <c r="N7" s="121"/>
      <c r="O7" s="235"/>
      <c r="P7" s="235"/>
      <c r="Q7" s="235"/>
    </row>
    <row r="8" spans="1:17" x14ac:dyDescent="0.25">
      <c r="B8" s="232" t="s">
        <v>65</v>
      </c>
      <c r="C8" s="233"/>
      <c r="D8" s="13">
        <v>630</v>
      </c>
      <c r="E8" s="1" t="s">
        <v>1</v>
      </c>
      <c r="I8" s="1" t="s">
        <v>13</v>
      </c>
      <c r="J8" s="127">
        <f>D5^2/(J6*10^6)</f>
        <v>2E-3</v>
      </c>
      <c r="K8" s="1" t="s">
        <v>11</v>
      </c>
      <c r="L8" s="265"/>
      <c r="M8" s="266"/>
      <c r="N8" s="115"/>
      <c r="O8" s="1" t="s">
        <v>38</v>
      </c>
      <c r="P8" s="123">
        <f>D5/(SQRT(3)*J11)</f>
        <v>15737.335968934613</v>
      </c>
      <c r="Q8" s="1" t="s">
        <v>6</v>
      </c>
    </row>
    <row r="9" spans="1:17" x14ac:dyDescent="0.25">
      <c r="B9" s="232" t="s">
        <v>2</v>
      </c>
      <c r="C9" s="233"/>
      <c r="D9" s="34">
        <f>D8*10^3/(SQRT(3)*D4)</f>
        <v>36.373066958946424</v>
      </c>
      <c r="E9" s="1" t="s">
        <v>6</v>
      </c>
      <c r="F9" t="s">
        <v>271</v>
      </c>
      <c r="I9" s="1" t="s">
        <v>14</v>
      </c>
      <c r="J9" s="127">
        <f>D5^2/(J4*10^6)</f>
        <v>1.2800000000000001E-3</v>
      </c>
      <c r="K9" s="1" t="s">
        <v>11</v>
      </c>
      <c r="L9" s="267"/>
      <c r="M9" s="268"/>
      <c r="N9" s="115"/>
      <c r="O9" s="1" t="s">
        <v>39</v>
      </c>
      <c r="P9" s="123">
        <f>P8*SQRT(3)/2</f>
        <v>13628.932736987967</v>
      </c>
      <c r="Q9" s="1" t="s">
        <v>6</v>
      </c>
    </row>
    <row r="10" spans="1:17" x14ac:dyDescent="0.25">
      <c r="B10" s="232" t="s">
        <v>7</v>
      </c>
      <c r="C10" s="233"/>
      <c r="D10" s="34">
        <f>D8*10^3/(SQRT(3)*D5)</f>
        <v>909.3266739736606</v>
      </c>
      <c r="E10" s="1" t="s">
        <v>6</v>
      </c>
      <c r="I10" s="223"/>
      <c r="J10" s="224"/>
      <c r="K10" s="225"/>
      <c r="L10" s="267"/>
      <c r="M10" s="268"/>
      <c r="N10" s="115"/>
      <c r="O10" s="163" t="s">
        <v>258</v>
      </c>
      <c r="P10" s="35">
        <f>P8/(D17*SQRT(3))</f>
        <v>363.43820631967913</v>
      </c>
      <c r="Q10" s="94" t="s">
        <v>6</v>
      </c>
    </row>
    <row r="11" spans="1:17" x14ac:dyDescent="0.25">
      <c r="B11" s="232" t="s">
        <v>12</v>
      </c>
      <c r="C11" s="233"/>
      <c r="D11" s="34">
        <f>12*D9</f>
        <v>436.47680350735709</v>
      </c>
      <c r="E11" s="1" t="s">
        <v>6</v>
      </c>
      <c r="I11" s="1" t="s">
        <v>30</v>
      </c>
      <c r="J11" s="37">
        <f>DATA!C6</f>
        <v>1.467466336943714E-2</v>
      </c>
      <c r="K11" s="1" t="s">
        <v>11</v>
      </c>
      <c r="L11" s="267"/>
      <c r="M11" s="268"/>
      <c r="N11" s="115"/>
      <c r="O11" s="115"/>
    </row>
    <row r="12" spans="1:17" x14ac:dyDescent="0.25">
      <c r="B12" s="232" t="s">
        <v>15</v>
      </c>
      <c r="C12" s="233"/>
      <c r="D12" s="13"/>
      <c r="E12" s="1" t="s">
        <v>18</v>
      </c>
      <c r="I12" s="30" t="s">
        <v>31</v>
      </c>
      <c r="J12" s="38">
        <f>DATA!D6</f>
        <v>77.729585407041853</v>
      </c>
      <c r="K12" s="30" t="s">
        <v>20</v>
      </c>
      <c r="L12" s="267"/>
      <c r="M12" s="268"/>
      <c r="N12" s="115"/>
      <c r="O12" s="115"/>
    </row>
    <row r="13" spans="1:17" x14ac:dyDescent="0.25">
      <c r="B13" s="232" t="s">
        <v>16</v>
      </c>
      <c r="C13" s="233"/>
      <c r="D13" s="13">
        <v>5</v>
      </c>
      <c r="E13" s="1" t="s">
        <v>18</v>
      </c>
      <c r="I13" s="1" t="s">
        <v>34</v>
      </c>
      <c r="J13" s="37">
        <f>DATA!C12</f>
        <v>1.3944544909118993E-2</v>
      </c>
      <c r="K13" s="1" t="s">
        <v>11</v>
      </c>
      <c r="L13" s="267"/>
      <c r="M13" s="268"/>
      <c r="N13" s="115"/>
      <c r="O13" s="115"/>
    </row>
    <row r="14" spans="1:17" x14ac:dyDescent="0.25">
      <c r="B14" s="232" t="s">
        <v>216</v>
      </c>
      <c r="C14" s="233"/>
      <c r="D14" s="13">
        <v>6</v>
      </c>
      <c r="E14" s="1" t="s">
        <v>217</v>
      </c>
      <c r="I14" s="30" t="s">
        <v>35</v>
      </c>
      <c r="J14" s="38">
        <f>DATA!D12</f>
        <v>77.759989024284579</v>
      </c>
      <c r="K14" s="30" t="s">
        <v>20</v>
      </c>
      <c r="L14" s="269"/>
      <c r="M14" s="270"/>
      <c r="N14" s="115"/>
      <c r="O14" s="115"/>
    </row>
    <row r="15" spans="1:17" x14ac:dyDescent="0.25">
      <c r="B15" s="232" t="s">
        <v>218</v>
      </c>
      <c r="C15" s="233"/>
      <c r="D15" s="13"/>
      <c r="E15" s="1" t="s">
        <v>217</v>
      </c>
      <c r="I15" s="232" t="s">
        <v>67</v>
      </c>
      <c r="J15" s="233"/>
      <c r="K15" s="13">
        <v>1.2</v>
      </c>
      <c r="L15" s="232" t="s">
        <v>68</v>
      </c>
      <c r="M15" s="233"/>
      <c r="N15" s="27"/>
      <c r="O15" s="27"/>
    </row>
    <row r="16" spans="1:17" x14ac:dyDescent="0.25">
      <c r="B16" s="232" t="s">
        <v>17</v>
      </c>
      <c r="C16" s="233"/>
      <c r="D16" s="33">
        <f>IF(AND(D12&gt;0),D12/D13,IF(AND(D12=0,D14&gt;0),D18/D20,""))</f>
        <v>0.19047619047619047</v>
      </c>
      <c r="E16" s="32" t="s">
        <v>19</v>
      </c>
      <c r="F16" s="34">
        <f>DEGREES(ACOS(D16))</f>
        <v>79.019424572387848</v>
      </c>
      <c r="G16" s="30" t="s">
        <v>20</v>
      </c>
      <c r="I16" s="232" t="s">
        <v>69</v>
      </c>
      <c r="J16" s="233"/>
      <c r="K16" s="13">
        <v>0.04</v>
      </c>
      <c r="L16" s="232" t="s">
        <v>68</v>
      </c>
      <c r="M16" s="233"/>
      <c r="N16" s="27"/>
      <c r="O16" s="27"/>
    </row>
    <row r="17" spans="2:20" x14ac:dyDescent="0.25">
      <c r="B17" s="232" t="s">
        <v>21</v>
      </c>
      <c r="C17" s="233"/>
      <c r="D17" s="35">
        <f>D4/D5</f>
        <v>25</v>
      </c>
      <c r="E17" s="1"/>
      <c r="I17" s="264" t="s">
        <v>155</v>
      </c>
      <c r="J17" s="264"/>
      <c r="K17" s="13">
        <v>200</v>
      </c>
      <c r="L17" s="264" t="s">
        <v>6</v>
      </c>
      <c r="M17" s="264"/>
      <c r="N17" s="27"/>
      <c r="O17" s="27"/>
    </row>
    <row r="18" spans="2:20" x14ac:dyDescent="0.25">
      <c r="B18" s="232" t="s">
        <v>84</v>
      </c>
      <c r="C18" s="233"/>
      <c r="D18" s="36">
        <f>IF(AND(D12&gt;0),D20*D16,IF(AND(D12=0,D14&gt;0),D14*10^3/(3*D10^2),""))</f>
        <v>2.418745275888133E-3</v>
      </c>
      <c r="E18" s="1" t="s">
        <v>11</v>
      </c>
      <c r="I18" s="27"/>
      <c r="J18" s="27"/>
      <c r="K18" s="29"/>
      <c r="L18" s="27"/>
      <c r="M18" s="26"/>
      <c r="N18" s="27"/>
      <c r="O18" s="27"/>
    </row>
    <row r="19" spans="2:20" x14ac:dyDescent="0.25">
      <c r="B19" s="232" t="s">
        <v>85</v>
      </c>
      <c r="C19" s="233"/>
      <c r="D19" s="36">
        <f>D20*SIN(RADIANS(F16))</f>
        <v>1.2465927817438126E-2</v>
      </c>
      <c r="E19" s="1" t="s">
        <v>11</v>
      </c>
      <c r="I19" s="27"/>
      <c r="J19" s="27"/>
      <c r="K19" s="29"/>
      <c r="L19" s="27"/>
      <c r="M19" s="26"/>
      <c r="N19" s="27"/>
      <c r="O19" s="27"/>
    </row>
    <row r="20" spans="2:20" x14ac:dyDescent="0.25">
      <c r="B20" s="232" t="s">
        <v>22</v>
      </c>
      <c r="C20" s="233"/>
      <c r="D20" s="36">
        <f>D7^2*D13/(D8*10^3*100)</f>
        <v>1.2698412698412698E-2</v>
      </c>
      <c r="E20" s="1" t="s">
        <v>11</v>
      </c>
      <c r="I20" s="207" t="s">
        <v>282</v>
      </c>
      <c r="J20" s="208"/>
      <c r="K20" s="209"/>
      <c r="L20" s="208"/>
      <c r="M20" s="210"/>
      <c r="N20" s="27"/>
      <c r="O20" s="27"/>
    </row>
    <row r="21" spans="2:20" x14ac:dyDescent="0.25">
      <c r="B21" s="234" t="s">
        <v>269</v>
      </c>
      <c r="C21" s="234"/>
      <c r="D21" s="164" t="s">
        <v>270</v>
      </c>
      <c r="E21" s="94"/>
      <c r="F21" s="119"/>
      <c r="G21" s="119"/>
      <c r="H21" s="119"/>
      <c r="I21" s="211"/>
      <c r="J21" s="189"/>
      <c r="K21" s="29"/>
      <c r="L21" s="27"/>
      <c r="M21" s="16"/>
      <c r="N21" s="27"/>
      <c r="O21" s="27"/>
    </row>
    <row r="22" spans="2:20" x14ac:dyDescent="0.25">
      <c r="B22" s="234" t="s">
        <v>273</v>
      </c>
      <c r="C22" s="234"/>
      <c r="D22" s="172">
        <v>30</v>
      </c>
      <c r="E22" s="171" t="s">
        <v>80</v>
      </c>
      <c r="F22" s="119"/>
      <c r="G22" s="119"/>
      <c r="H22" s="119"/>
      <c r="I22" s="212" t="s">
        <v>290</v>
      </c>
      <c r="J22" s="213"/>
      <c r="K22" s="130"/>
      <c r="L22" s="214"/>
      <c r="M22" s="170"/>
      <c r="N22" s="27"/>
      <c r="O22" s="27"/>
    </row>
    <row r="23" spans="2:20" x14ac:dyDescent="0.25">
      <c r="B23" s="26"/>
      <c r="C23" s="26"/>
      <c r="D23" s="174"/>
      <c r="E23" s="173"/>
      <c r="F23" s="119"/>
      <c r="G23" s="119"/>
      <c r="H23" s="119"/>
      <c r="N23" s="119"/>
      <c r="O23" s="119"/>
    </row>
    <row r="24" spans="2:20" ht="15.75" x14ac:dyDescent="0.25">
      <c r="B24" s="261" t="s">
        <v>41</v>
      </c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3"/>
      <c r="O24" s="135"/>
      <c r="P24" s="135"/>
      <c r="Q24" s="135"/>
      <c r="R24" s="135"/>
      <c r="S24" s="135"/>
      <c r="T24" s="135"/>
    </row>
    <row r="25" spans="2:20" ht="15.75" x14ac:dyDescent="0.25">
      <c r="B25" s="259" t="s">
        <v>221</v>
      </c>
      <c r="C25" s="259"/>
      <c r="D25" s="259"/>
      <c r="E25" s="259"/>
      <c r="F25" s="259"/>
      <c r="J25" s="259" t="s">
        <v>222</v>
      </c>
      <c r="K25" s="259"/>
      <c r="L25" s="259"/>
      <c r="M25" s="259"/>
      <c r="N25" s="259"/>
      <c r="O25" s="120"/>
      <c r="P25" s="120"/>
    </row>
    <row r="26" spans="2:20" x14ac:dyDescent="0.25">
      <c r="B26" s="234" t="s">
        <v>42</v>
      </c>
      <c r="C26" s="234"/>
      <c r="D26" s="245" t="s">
        <v>162</v>
      </c>
      <c r="E26" s="246"/>
      <c r="F26" s="247"/>
      <c r="J26" s="234" t="s">
        <v>42</v>
      </c>
      <c r="K26" s="234"/>
      <c r="L26" s="245" t="s">
        <v>53</v>
      </c>
      <c r="M26" s="246"/>
      <c r="N26" s="247"/>
      <c r="O26" s="122"/>
      <c r="P26" s="122"/>
    </row>
    <row r="27" spans="2:20" x14ac:dyDescent="0.25">
      <c r="B27" s="234" t="s">
        <v>132</v>
      </c>
      <c r="C27" s="234"/>
      <c r="D27" s="234"/>
      <c r="E27" s="131" t="s">
        <v>142</v>
      </c>
      <c r="F27" s="95"/>
      <c r="J27" s="234" t="s">
        <v>132</v>
      </c>
      <c r="K27" s="234"/>
      <c r="L27" s="234"/>
      <c r="M27" s="108" t="s">
        <v>144</v>
      </c>
      <c r="N27" s="103"/>
      <c r="O27" s="111"/>
      <c r="P27" s="111"/>
    </row>
    <row r="28" spans="2:20" x14ac:dyDescent="0.25">
      <c r="B28" s="234" t="s">
        <v>130</v>
      </c>
      <c r="C28" s="234"/>
      <c r="D28" s="234"/>
      <c r="E28" s="12" t="str">
        <f>IF(AND(D9&gt;0,E27="SIBA VS",D26="Sikring"),TABELLER!X2,IF(AND(D9&gt;0,E27="CEF",D26="Sikring"),TABELLER!Y9,""))</f>
        <v/>
      </c>
      <c r="F28" s="1" t="s">
        <v>6</v>
      </c>
      <c r="J28" s="248" t="s">
        <v>130</v>
      </c>
      <c r="K28" s="249"/>
      <c r="L28" s="250"/>
      <c r="M28" s="102" t="str">
        <f>IF(AND(D10&gt;0,L26="Sikring",M27="D01"),SMALL(TABELLER!R3:R7,COUNTIF(TABELLER!R3:R7,"&lt;"&amp;'T1-A1'!D10)+1),IF(AND(D10&gt;0,L26="Sikring",M27="D02"),SMALL(TABELLER!R8:R12,COUNTIF(TABELLER!R8:R12,"&lt;"&amp;'T1-A1'!D10)+1),IF(AND(D10&gt;0,L26="Sikring",M27="D03"),SMALL(TABELLER!R13:R14,COUNTIF(TABELLER!R13:R14,"&lt;"&amp;'T1-A1'!D10)+1),IF(AND(D10&gt;0,L26="Sikring",OR(M27="NH00",M27="NH0")),SMALL(TABELLER!R15:R28,COUNTIF(TABELLER!R15:R28,"&lt;"&amp;'T1-A1'!D10)+1),IF(AND(D10&gt;0,L26="Sikring",M27="NH1"),SMALL(TABELLER!R29:R39,COUNTIF(TABELLER!R29:R39,"&lt;"&amp;'T1-A1'!D10)+1),IF(AND(D10&gt;0,L26="Sikring",M27="NH2"),SMALL(TABELLER!R40:R49,COUNTIF(TABELLER!R40:R49,"&lt;"&amp;'T1-A1'!D10)+1),IF(AND(D10&gt;0,L26="Sikring",M27="NH3"),SMALL(TABELLER!R50:R52,COUNTIF(TABELLER!R50:R52,"&lt;"&amp;'T1-A1'!D10)+1),IF(AND(D10&gt;0,L26="Sikring",M27="NH4a"),SMALL(TABELLER!R53:R57,COUNTIF(TABELLER!R53:R57,"&lt;"&amp;'T1-A1'!D10)+1),IF(AND(M27="CEF",D10&gt;0,L26="Sikring"),TABELLER!Y21,"")))))))))</f>
        <v/>
      </c>
      <c r="N28" s="82" t="s">
        <v>6</v>
      </c>
      <c r="O28" s="29"/>
      <c r="P28" s="29"/>
    </row>
    <row r="29" spans="2:20" ht="15.75" x14ac:dyDescent="0.25">
      <c r="B29" s="252" t="s">
        <v>162</v>
      </c>
      <c r="C29" s="253"/>
      <c r="D29" s="253"/>
      <c r="E29" s="253"/>
      <c r="F29" s="254"/>
      <c r="J29" s="232" t="s">
        <v>43</v>
      </c>
      <c r="K29" s="237"/>
      <c r="L29" s="233"/>
      <c r="M29" s="24">
        <f>D10</f>
        <v>909.3266739736606</v>
      </c>
      <c r="N29" s="1" t="s">
        <v>6</v>
      </c>
      <c r="O29" s="21"/>
      <c r="P29" s="21"/>
    </row>
    <row r="30" spans="2:20" x14ac:dyDescent="0.25">
      <c r="B30" s="234"/>
      <c r="C30" s="234"/>
      <c r="D30" s="223" t="s">
        <v>163</v>
      </c>
      <c r="E30" s="224"/>
      <c r="F30" s="225"/>
      <c r="J30" s="232" t="s">
        <v>44</v>
      </c>
      <c r="K30" s="237"/>
      <c r="L30" s="233"/>
      <c r="M30" s="12">
        <f>IF(AND(M29&gt;0,L26="Maksimalafbryder"),SMALL(TABELLER!A2:B13,COUNTIF(TABELLER!A2:B13,"&lt;"&amp;M29)+1),"")</f>
        <v>1000</v>
      </c>
      <c r="N30" s="1" t="str">
        <f>IF(M30&lt;=800,"NSX",IF(M30&gt;=1000,"NS",""))</f>
        <v>NS</v>
      </c>
      <c r="O30" s="21"/>
      <c r="P30" s="21"/>
    </row>
    <row r="31" spans="2:20" x14ac:dyDescent="0.25">
      <c r="B31" s="251" t="s">
        <v>155</v>
      </c>
      <c r="C31" s="251"/>
      <c r="D31" s="13">
        <v>1.2</v>
      </c>
      <c r="E31" s="24">
        <f>IF(D26="Konstanttidsrelæ",D31*D9,"")</f>
        <v>43.647680350735705</v>
      </c>
      <c r="F31" s="1" t="s">
        <v>6</v>
      </c>
      <c r="J31" s="232" t="s">
        <v>45</v>
      </c>
      <c r="K31" s="237"/>
      <c r="L31" s="233"/>
      <c r="M31" s="13" t="s">
        <v>272</v>
      </c>
      <c r="N31" s="1" t="str">
        <f>IF(AND(M30&gt;0,M31="Micrologic"),"2.0",IF(AND(M31="TMD",M29&lt;TABELLER!A46),SMALL(TABELLER!A35:A46,COUNTIF(TABELLER!A35:A46,"&lt;"&amp;M29)+1),""))</f>
        <v>2.0</v>
      </c>
      <c r="O31" s="21"/>
      <c r="P31" s="21"/>
    </row>
    <row r="32" spans="2:20" x14ac:dyDescent="0.25">
      <c r="B32" s="251" t="s">
        <v>156</v>
      </c>
      <c r="C32" s="251"/>
      <c r="D32" s="13">
        <v>0.2</v>
      </c>
      <c r="E32" s="12">
        <f>IF(D26="Konstanttidsrelæ",K15+K16-D32,"")</f>
        <v>1.04</v>
      </c>
      <c r="F32" s="1" t="s">
        <v>157</v>
      </c>
      <c r="J32" s="232" t="s">
        <v>46</v>
      </c>
      <c r="K32" s="237"/>
      <c r="L32" s="233"/>
      <c r="M32" s="12">
        <f>M30</f>
        <v>1000</v>
      </c>
      <c r="N32" s="1" t="s">
        <v>6</v>
      </c>
      <c r="O32" s="21"/>
      <c r="P32" s="21"/>
      <c r="Q32" s="115"/>
    </row>
    <row r="33" spans="2:16" x14ac:dyDescent="0.25">
      <c r="B33" s="251" t="s">
        <v>158</v>
      </c>
      <c r="C33" s="251"/>
      <c r="D33" s="13">
        <v>6</v>
      </c>
      <c r="E33" s="24">
        <f>IF(D26="Konstanttidsrelæ",D33*D9,"")</f>
        <v>218.23840175367854</v>
      </c>
      <c r="F33" s="1" t="s">
        <v>6</v>
      </c>
      <c r="J33" s="232" t="s">
        <v>47</v>
      </c>
      <c r="K33" s="237"/>
      <c r="L33" s="233"/>
      <c r="M33" s="14">
        <f>IF(AND(M31="Micrologic",M32&gt;0,L26="Maksimalafbryder"),SMALL(TABELLER!A16:A24,COUNTIF(TABELLER!A16:A24,"&lt;"&amp;DATA!B15)+1),"")</f>
        <v>0.92</v>
      </c>
      <c r="N33" s="1"/>
      <c r="O33" s="21"/>
      <c r="P33" s="21"/>
    </row>
    <row r="34" spans="2:16" ht="15" customHeight="1" x14ac:dyDescent="0.25">
      <c r="B34" s="251" t="s">
        <v>159</v>
      </c>
      <c r="C34" s="251"/>
      <c r="D34" s="13">
        <v>0.04</v>
      </c>
      <c r="E34" s="12">
        <f>IF(D26="Konstanttidsrelæ",K16+D34,"")</f>
        <v>0.08</v>
      </c>
      <c r="F34" s="1" t="s">
        <v>157</v>
      </c>
      <c r="J34" s="232" t="s">
        <v>48</v>
      </c>
      <c r="K34" s="237"/>
      <c r="L34" s="233"/>
      <c r="M34" s="12">
        <f>IFERROR(IF(AND(M33&gt;0,M32&gt;0,M31="Micrologic"),M32*M33,""),"")</f>
        <v>920</v>
      </c>
      <c r="N34" s="1" t="s">
        <v>6</v>
      </c>
      <c r="O34" s="21"/>
      <c r="P34" s="21"/>
    </row>
    <row r="35" spans="2:16" ht="15" customHeight="1" x14ac:dyDescent="0.25">
      <c r="B35" s="251" t="s">
        <v>160</v>
      </c>
      <c r="C35" s="251"/>
      <c r="D35" s="13"/>
      <c r="E35" s="12" t="s">
        <v>187</v>
      </c>
      <c r="F35" s="1" t="s">
        <v>6</v>
      </c>
      <c r="J35" s="232" t="s">
        <v>49</v>
      </c>
      <c r="K35" s="237"/>
      <c r="L35" s="233"/>
      <c r="M35" s="13">
        <v>5</v>
      </c>
      <c r="N35" s="1"/>
      <c r="O35" s="21"/>
      <c r="P35" s="21"/>
    </row>
    <row r="36" spans="2:16" x14ac:dyDescent="0.25">
      <c r="B36" s="251" t="s">
        <v>161</v>
      </c>
      <c r="C36" s="251"/>
      <c r="D36" s="13"/>
      <c r="E36" s="12" t="s">
        <v>188</v>
      </c>
      <c r="F36" s="1" t="s">
        <v>157</v>
      </c>
      <c r="J36" s="232" t="s">
        <v>50</v>
      </c>
      <c r="K36" s="237"/>
      <c r="L36" s="233"/>
      <c r="M36" s="12">
        <f>IFERROR(IF(M31="Micrologic",M34*M35,""),"")</f>
        <v>4600</v>
      </c>
      <c r="N36" s="1" t="s">
        <v>6</v>
      </c>
      <c r="O36" s="21"/>
      <c r="P36" s="21"/>
    </row>
    <row r="37" spans="2:16" x14ac:dyDescent="0.25">
      <c r="B37" s="235"/>
      <c r="C37" s="235"/>
      <c r="D37" s="235"/>
      <c r="E37" s="235"/>
      <c r="F37" s="235"/>
      <c r="J37" s="232" t="s">
        <v>62</v>
      </c>
      <c r="K37" s="237"/>
      <c r="L37" s="237"/>
      <c r="M37" s="25">
        <v>10</v>
      </c>
      <c r="N37" s="2" t="s">
        <v>18</v>
      </c>
      <c r="O37" s="21"/>
      <c r="P37" s="21"/>
    </row>
    <row r="38" spans="2:16" ht="15.75" x14ac:dyDescent="0.25">
      <c r="B38" s="236" t="s">
        <v>164</v>
      </c>
      <c r="C38" s="236"/>
      <c r="D38" s="236"/>
      <c r="E38" s="236"/>
      <c r="F38" s="2"/>
      <c r="J38" s="232" t="s">
        <v>63</v>
      </c>
      <c r="K38" s="237"/>
      <c r="L38" s="233"/>
      <c r="M38" s="28">
        <v>20</v>
      </c>
      <c r="N38" s="2" t="s">
        <v>18</v>
      </c>
      <c r="O38" s="21"/>
      <c r="P38" s="21"/>
    </row>
    <row r="39" spans="2:16" x14ac:dyDescent="0.25">
      <c r="B39" s="255" t="s">
        <v>158</v>
      </c>
      <c r="C39" s="256"/>
      <c r="D39" s="255" t="str">
        <f>O6</f>
        <v>I'_kFN</v>
      </c>
      <c r="E39" s="256"/>
      <c r="F39" s="129"/>
      <c r="J39" s="223"/>
      <c r="K39" s="224"/>
      <c r="L39" s="224"/>
      <c r="M39" s="224"/>
      <c r="N39" s="225"/>
      <c r="O39" s="21"/>
      <c r="P39" s="21"/>
    </row>
    <row r="40" spans="2:16" ht="15" customHeight="1" x14ac:dyDescent="0.25">
      <c r="B40" s="117">
        <f>E33</f>
        <v>218.23840175367854</v>
      </c>
      <c r="C40" s="156" t="s">
        <v>165</v>
      </c>
      <c r="D40" s="124">
        <f>P6*0.8</f>
        <v>305.97389118640166</v>
      </c>
      <c r="E40" s="234" t="str">
        <f>IF(D40&gt;B40,"--&gt; OK",IF(B40&gt;D40,"IKKE OK! VÆLG ANDEN INDSTILLING",""))</f>
        <v>--&gt; OK</v>
      </c>
      <c r="F40" s="234"/>
      <c r="G40" s="234"/>
      <c r="H40" s="234"/>
      <c r="J40" s="232" t="s">
        <v>49</v>
      </c>
      <c r="K40" s="237"/>
      <c r="L40" s="233"/>
      <c r="M40" s="13">
        <v>5</v>
      </c>
      <c r="N40" s="1"/>
      <c r="O40" s="101"/>
      <c r="P40" s="101"/>
    </row>
    <row r="41" spans="2:16" x14ac:dyDescent="0.25">
      <c r="B41" s="27"/>
      <c r="C41" s="27"/>
      <c r="D41" s="27"/>
      <c r="E41" s="134"/>
      <c r="F41" s="29"/>
      <c r="J41" s="9" t="s">
        <v>51</v>
      </c>
      <c r="K41" s="10"/>
      <c r="L41" s="11"/>
      <c r="M41" s="24" t="str">
        <f>IF(AND(M31="TMD",L26="Maksimalafbryder"),M29,"")</f>
        <v/>
      </c>
      <c r="N41" s="1" t="s">
        <v>6</v>
      </c>
      <c r="O41" s="21"/>
      <c r="P41" s="21"/>
    </row>
    <row r="42" spans="2:16" ht="15" customHeight="1" x14ac:dyDescent="0.25">
      <c r="J42" s="9" t="s">
        <v>52</v>
      </c>
      <c r="K42" s="10"/>
      <c r="L42" s="11"/>
      <c r="M42" s="24" t="str">
        <f>IFERROR(IF(AND(M31="TMD",M41&gt;0),M41*M40,""),"")</f>
        <v/>
      </c>
      <c r="N42" s="1" t="s">
        <v>6</v>
      </c>
      <c r="O42" s="21"/>
      <c r="P42" s="21"/>
    </row>
    <row r="43" spans="2:16" ht="15" customHeight="1" x14ac:dyDescent="0.25">
      <c r="J43" s="26"/>
      <c r="K43" s="26"/>
      <c r="L43" s="26"/>
      <c r="M43" s="29"/>
      <c r="N43" s="21"/>
      <c r="O43" s="21"/>
      <c r="P43" s="21"/>
    </row>
    <row r="44" spans="2:16" ht="15" customHeight="1" x14ac:dyDescent="0.25">
      <c r="J44" s="112" t="s">
        <v>64</v>
      </c>
      <c r="K44" s="113"/>
      <c r="L44" s="113"/>
      <c r="M44" s="113"/>
      <c r="N44" s="113"/>
      <c r="O44" s="113"/>
      <c r="P44" s="114"/>
    </row>
    <row r="45" spans="2:16" ht="15" customHeight="1" x14ac:dyDescent="0.25">
      <c r="J45" s="1" t="str">
        <f>O9</f>
        <v>I_k2F_min</v>
      </c>
      <c r="K45" s="140">
        <f>IF(AND(M36&gt;0,L26="Maksimalafbryder"),P9*DATA!B16*DATA!B17,"")</f>
        <v>9812.8315706313369</v>
      </c>
      <c r="L45" s="155" t="s">
        <v>166</v>
      </c>
      <c r="M45" s="141">
        <f>IF(M31="Micrologic",M36,IF(M31="TMD",M42,""))</f>
        <v>4600</v>
      </c>
      <c r="N45" s="243" t="str">
        <f>IF(K45&gt;M45,"--&gt; OK",IF(M45&gt;K45,"IKKE OK! VÆLG ANDEN INDSTILLING",""))</f>
        <v>--&gt; OK</v>
      </c>
      <c r="O45" s="243"/>
      <c r="P45" s="244"/>
    </row>
    <row r="46" spans="2:16" ht="15" customHeight="1" x14ac:dyDescent="0.25">
      <c r="J46" s="1" t="str">
        <f>O4</f>
        <v>I_k3F_max</v>
      </c>
      <c r="K46" s="142">
        <f>IF(AND(L26="Maksimalafbryder"),TABELLER!A79*10^3,"")</f>
        <v>50000</v>
      </c>
      <c r="L46" s="154" t="s">
        <v>166</v>
      </c>
      <c r="M46" s="143">
        <f>IF(AND(L26="Maksimalafbryder"),P4,"")</f>
        <v>16561.322666387463</v>
      </c>
      <c r="N46" s="257" t="str">
        <f>IF(K46&gt;M46,"--&gt; OK",IF(M46&gt;K46,"IKKE OK! VÆLG ANDEN INDSTILLING",""))</f>
        <v>--&gt; OK</v>
      </c>
      <c r="O46" s="257"/>
      <c r="P46" s="258"/>
    </row>
    <row r="47" spans="2:16" ht="15" customHeight="1" x14ac:dyDescent="0.25"/>
    <row r="48" spans="2:16" ht="15.75" x14ac:dyDescent="0.25">
      <c r="B48" s="303" t="s">
        <v>66</v>
      </c>
      <c r="C48" s="303"/>
      <c r="D48" s="303"/>
      <c r="E48" s="303"/>
      <c r="F48" s="303"/>
      <c r="G48" s="303"/>
      <c r="H48" s="303"/>
      <c r="J48" s="8" t="s">
        <v>167</v>
      </c>
    </row>
    <row r="49" spans="2:16" x14ac:dyDescent="0.25">
      <c r="B49" s="302" t="s">
        <v>74</v>
      </c>
      <c r="C49" s="302"/>
      <c r="D49" s="302"/>
      <c r="E49" s="302"/>
      <c r="F49" s="302"/>
      <c r="G49" s="302"/>
      <c r="H49" s="302"/>
      <c r="J49" s="242" t="s">
        <v>168</v>
      </c>
      <c r="K49" s="242"/>
      <c r="L49" s="242"/>
      <c r="M49" s="242"/>
      <c r="N49" s="242"/>
    </row>
    <row r="50" spans="2:16" x14ac:dyDescent="0.25">
      <c r="B50" s="223" t="s">
        <v>70</v>
      </c>
      <c r="C50" s="224"/>
      <c r="D50" s="224"/>
      <c r="E50" s="225"/>
      <c r="J50" s="234" t="s">
        <v>170</v>
      </c>
      <c r="K50" s="234"/>
      <c r="L50" s="25">
        <v>20</v>
      </c>
      <c r="M50" s="1" t="s">
        <v>18</v>
      </c>
      <c r="N50" s="238"/>
    </row>
    <row r="51" spans="2:16" x14ac:dyDescent="0.25">
      <c r="B51" s="234" t="s">
        <v>71</v>
      </c>
      <c r="C51" s="234"/>
      <c r="D51" s="35">
        <f>K15+K16</f>
        <v>1.24</v>
      </c>
      <c r="E51" s="1" t="s">
        <v>68</v>
      </c>
      <c r="J51" s="234" t="s">
        <v>171</v>
      </c>
      <c r="K51" s="234"/>
      <c r="L51" s="24">
        <f>D9*DATA!B18</f>
        <v>43.647680350735705</v>
      </c>
      <c r="M51" s="1" t="s">
        <v>6</v>
      </c>
      <c r="N51" s="239"/>
    </row>
    <row r="52" spans="2:16" x14ac:dyDescent="0.25">
      <c r="B52" s="234" t="s">
        <v>72</v>
      </c>
      <c r="C52" s="234"/>
      <c r="D52" s="13">
        <v>255</v>
      </c>
      <c r="E52" s="1" t="s">
        <v>73</v>
      </c>
      <c r="J52" s="234" t="s">
        <v>172</v>
      </c>
      <c r="K52" s="234"/>
      <c r="L52" s="12">
        <f>IF(AND(L51&gt;0),SMALL(TABELLER!R63:R88,COUNTIF(TABELLER!R63:R88,"&lt;"&amp;'T1-A1'!L51)+1),"")</f>
        <v>50</v>
      </c>
      <c r="M52" s="12" t="s">
        <v>174</v>
      </c>
      <c r="N52" s="1" t="s">
        <v>6</v>
      </c>
    </row>
    <row r="53" spans="2:16" x14ac:dyDescent="0.25">
      <c r="B53" s="232" t="s">
        <v>75</v>
      </c>
      <c r="C53" s="233"/>
      <c r="D53" s="34">
        <f>P5/D52</f>
        <v>56.245200585735603</v>
      </c>
      <c r="E53" s="1" t="s">
        <v>76</v>
      </c>
      <c r="F53" s="31" t="s">
        <v>19</v>
      </c>
      <c r="G53" s="35">
        <f>IF(AND(D53&gt;0),SMALL(TABELLER!D7:D27,COUNTIF(TABELLER!D7:D27,"&lt;"&amp;D53)+1),IF(D53&gt;16,16,""))</f>
        <v>70</v>
      </c>
      <c r="H53" s="94" t="s">
        <v>76</v>
      </c>
      <c r="J53" s="234" t="s">
        <v>175</v>
      </c>
      <c r="K53" s="234"/>
      <c r="L53" s="12">
        <f>IF(AND(D4&gt;0),SMALL(TABELLER!T63:T86,COUNTIF(TABELLER!T63:T86,"&lt;"&amp;'T1-A1'!D4)+1),"")</f>
        <v>10000</v>
      </c>
      <c r="M53" s="12" t="s">
        <v>177</v>
      </c>
      <c r="N53" s="1" t="s">
        <v>4</v>
      </c>
    </row>
    <row r="54" spans="2:16" x14ac:dyDescent="0.25">
      <c r="J54" s="242" t="s">
        <v>169</v>
      </c>
      <c r="K54" s="242"/>
      <c r="L54" s="242"/>
      <c r="M54" s="242"/>
      <c r="N54" s="242"/>
    </row>
    <row r="55" spans="2:16" x14ac:dyDescent="0.25">
      <c r="B55" s="302" t="s">
        <v>77</v>
      </c>
      <c r="C55" s="302"/>
      <c r="D55" s="302"/>
      <c r="E55" s="302"/>
      <c r="F55" s="302"/>
      <c r="G55" s="302"/>
      <c r="H55" s="302"/>
      <c r="J55" s="234" t="s">
        <v>170</v>
      </c>
      <c r="K55" s="234"/>
      <c r="L55" s="25">
        <v>20</v>
      </c>
      <c r="M55" s="1" t="s">
        <v>18</v>
      </c>
      <c r="N55" s="238"/>
    </row>
    <row r="56" spans="2:16" x14ac:dyDescent="0.25">
      <c r="B56" s="240" t="s">
        <v>78</v>
      </c>
      <c r="C56" s="241"/>
      <c r="D56" s="13">
        <v>300</v>
      </c>
      <c r="E56" s="30" t="s">
        <v>80</v>
      </c>
      <c r="J56" s="234" t="s">
        <v>171</v>
      </c>
      <c r="K56" s="234"/>
      <c r="L56" s="24">
        <f>D10*DATA!B19</f>
        <v>1091.1920087683927</v>
      </c>
      <c r="M56" s="1" t="s">
        <v>6</v>
      </c>
      <c r="N56" s="239"/>
    </row>
    <row r="57" spans="2:16" x14ac:dyDescent="0.25">
      <c r="B57" s="240" t="s">
        <v>79</v>
      </c>
      <c r="C57" s="241"/>
      <c r="D57" s="137">
        <f>D22</f>
        <v>30</v>
      </c>
      <c r="E57" s="30" t="s">
        <v>80</v>
      </c>
      <c r="J57" s="234" t="s">
        <v>172</v>
      </c>
      <c r="K57" s="234"/>
      <c r="L57" s="12">
        <f>IF(AND(L56&gt;0),SMALL(TABELLER!R71:R96,COUNTIF(TABELLER!R71:R96,"&lt;"&amp;'T1-A1'!L56)+1),"")</f>
        <v>1250</v>
      </c>
      <c r="M57" s="12" t="s">
        <v>174</v>
      </c>
      <c r="N57" s="1" t="s">
        <v>6</v>
      </c>
    </row>
    <row r="58" spans="2:16" x14ac:dyDescent="0.25">
      <c r="B58" s="235" t="s">
        <v>81</v>
      </c>
      <c r="C58" s="235"/>
      <c r="D58" s="235"/>
      <c r="E58" s="235"/>
    </row>
    <row r="59" spans="2:16" x14ac:dyDescent="0.25">
      <c r="B59" s="125" t="s">
        <v>82</v>
      </c>
      <c r="C59" s="126" t="s">
        <v>120</v>
      </c>
      <c r="D59" s="12">
        <f>IF(C59=TABELLER!N57,TABELLER!O57,IF(C59=TABELLER!N58,TABELLER!O58,IF(C59=TABELLER!N59,TABELLER!O59,"")))</f>
        <v>234.5</v>
      </c>
      <c r="E59" s="150" t="s">
        <v>80</v>
      </c>
      <c r="F59" s="21"/>
    </row>
    <row r="60" spans="2:16" ht="15" customHeight="1" x14ac:dyDescent="0.25">
      <c r="B60" s="240" t="s">
        <v>83</v>
      </c>
      <c r="C60" s="241"/>
      <c r="D60" s="116">
        <f>IF(C59=TABELLER!N57,TABELLER!P57,IF(C59=TABELLER!N58,TABELLER!P58,IF(C59=TABELLER!N59,TABELLER!P59,"")))</f>
        <v>226</v>
      </c>
      <c r="E60" s="264" t="s">
        <v>227</v>
      </c>
      <c r="F60" s="264"/>
    </row>
    <row r="61" spans="2:16" ht="15" customHeight="1" x14ac:dyDescent="0.25">
      <c r="B61" s="232" t="s">
        <v>75</v>
      </c>
      <c r="C61" s="233"/>
      <c r="D61" s="24">
        <f>P9/D60*SQRT(D51/LN((D56+D59)/(D57+D59)))</f>
        <v>80.063604712369639</v>
      </c>
      <c r="E61" s="1" t="s">
        <v>76</v>
      </c>
      <c r="F61" s="100" t="s">
        <v>19</v>
      </c>
      <c r="G61" s="109">
        <f>IF(AND(D61&gt;0),SMALL(TABELLER!D7:D27,COUNTIF(TABELLER!D7:D27,"&lt;"&amp;D61)+1),IF(D61&gt;16,16,""))</f>
        <v>95</v>
      </c>
      <c r="H61" s="94" t="s">
        <v>76</v>
      </c>
    </row>
    <row r="62" spans="2:16" ht="15" customHeight="1" x14ac:dyDescent="0.25">
      <c r="B62" s="27"/>
      <c r="C62" s="27"/>
      <c r="D62" s="190"/>
      <c r="E62" s="29"/>
      <c r="F62" s="115"/>
      <c r="G62" s="191"/>
      <c r="H62" s="29"/>
      <c r="I62" s="119"/>
    </row>
    <row r="64" spans="2:16" ht="15.75" x14ac:dyDescent="0.25">
      <c r="B64" s="166" t="s">
        <v>189</v>
      </c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8"/>
    </row>
    <row r="65" spans="2:16" ht="15" customHeight="1" x14ac:dyDescent="0.25">
      <c r="B65" s="236" t="s">
        <v>283</v>
      </c>
      <c r="C65" s="236"/>
      <c r="D65" s="236"/>
      <c r="E65" s="236"/>
      <c r="F65" s="236"/>
      <c r="J65" s="236" t="s">
        <v>284</v>
      </c>
      <c r="K65" s="236"/>
      <c r="L65" s="236"/>
      <c r="M65" s="236"/>
      <c r="N65" s="236"/>
      <c r="O65" s="236"/>
      <c r="P65" s="236"/>
    </row>
    <row r="66" spans="2:16" x14ac:dyDescent="0.25">
      <c r="B66" s="232" t="s">
        <v>190</v>
      </c>
      <c r="C66" s="233"/>
      <c r="D66" s="172">
        <f>D22</f>
        <v>30</v>
      </c>
      <c r="E66" s="151" t="s">
        <v>19</v>
      </c>
      <c r="F66" s="12">
        <f>IFERROR(IF(D66&gt;0,VLOOKUP(D66,TABELLER!A113:B120,2,FALSE),1),1)</f>
        <v>0.95</v>
      </c>
      <c r="J66" s="234" t="s">
        <v>205</v>
      </c>
      <c r="K66" s="234"/>
      <c r="L66" s="296" t="s">
        <v>199</v>
      </c>
      <c r="M66" s="297"/>
      <c r="N66" s="297"/>
      <c r="O66" s="297"/>
      <c r="P66" s="298"/>
    </row>
    <row r="67" spans="2:16" x14ac:dyDescent="0.25">
      <c r="B67" s="275" t="s">
        <v>212</v>
      </c>
      <c r="C67" s="276"/>
      <c r="D67" s="277" t="s">
        <v>122</v>
      </c>
      <c r="E67" s="277"/>
      <c r="J67" s="232" t="s">
        <v>190</v>
      </c>
      <c r="K67" s="233"/>
      <c r="L67" s="137">
        <v>25</v>
      </c>
      <c r="M67" s="128" t="s">
        <v>19</v>
      </c>
      <c r="N67" s="12">
        <f>IFERROR(IF(L69="PVC",VLOOKUP(L67,TABELLER!X64:Y73,2,FALSE),IF(L69="XLPE",VLOOKUP(L67,TABELLER!X64:Z73,3,FALSE),1)),1)</f>
        <v>1.06</v>
      </c>
      <c r="O67" s="289"/>
      <c r="P67" s="290"/>
    </row>
    <row r="68" spans="2:16" x14ac:dyDescent="0.25">
      <c r="B68" s="304" t="s">
        <v>235</v>
      </c>
      <c r="C68" s="304"/>
      <c r="D68" s="277">
        <v>3</v>
      </c>
      <c r="E68" s="277"/>
      <c r="J68" s="232" t="s">
        <v>191</v>
      </c>
      <c r="K68" s="233"/>
      <c r="L68" s="13">
        <v>0</v>
      </c>
      <c r="M68" s="128" t="s">
        <v>19</v>
      </c>
      <c r="N68" s="136">
        <f>IF(ISNUMBER(INDEX(TABELLER!Y78:AG82,MATCH(L66,TABELLER!X78:X82,0),MATCH(L68,TABELLER!Y77:AG77,0))),
INDEX(TABELLER!Y78:AG82,MATCH(L66,TABELLER!X78:X82,0),MATCH(L68,TABELLER!Y77:AG77,0)),1)</f>
        <v>1</v>
      </c>
      <c r="O68" s="291"/>
      <c r="P68" s="292"/>
    </row>
    <row r="69" spans="2:16" x14ac:dyDescent="0.25">
      <c r="B69" s="304" t="s">
        <v>253</v>
      </c>
      <c r="C69" s="304"/>
      <c r="D69" s="277" t="s">
        <v>249</v>
      </c>
      <c r="E69" s="277"/>
      <c r="J69" s="232" t="s">
        <v>210</v>
      </c>
      <c r="K69" s="233"/>
      <c r="L69" s="13" t="s">
        <v>107</v>
      </c>
      <c r="M69" s="1"/>
      <c r="N69" s="238"/>
      <c r="O69" s="291"/>
      <c r="P69" s="292"/>
    </row>
    <row r="70" spans="2:16" x14ac:dyDescent="0.25">
      <c r="B70" s="232" t="s">
        <v>254</v>
      </c>
      <c r="C70" s="233"/>
      <c r="D70" s="273" t="s">
        <v>257</v>
      </c>
      <c r="E70" s="274"/>
      <c r="J70" s="232" t="s">
        <v>212</v>
      </c>
      <c r="K70" s="233"/>
      <c r="L70" s="299" t="s">
        <v>120</v>
      </c>
      <c r="M70" s="299"/>
      <c r="N70" s="278"/>
      <c r="O70" s="293"/>
      <c r="P70" s="294"/>
    </row>
    <row r="71" spans="2:16" x14ac:dyDescent="0.25">
      <c r="B71" s="232" t="s">
        <v>263</v>
      </c>
      <c r="C71" s="233"/>
      <c r="D71" s="273" t="s">
        <v>260</v>
      </c>
      <c r="E71" s="274"/>
      <c r="J71" s="232" t="s">
        <v>206</v>
      </c>
      <c r="K71" s="233"/>
      <c r="L71" s="245">
        <v>45</v>
      </c>
      <c r="M71" s="247"/>
      <c r="N71" s="288" t="s">
        <v>19</v>
      </c>
      <c r="O71" s="12">
        <f>L71</f>
        <v>45</v>
      </c>
      <c r="P71" s="152"/>
    </row>
    <row r="72" spans="2:16" x14ac:dyDescent="0.25">
      <c r="B72" s="232" t="s">
        <v>208</v>
      </c>
      <c r="C72" s="233"/>
      <c r="D72" s="137">
        <f>D9/F66</f>
        <v>38.287438904154129</v>
      </c>
      <c r="E72" s="1" t="s">
        <v>6</v>
      </c>
      <c r="J72" s="232" t="s">
        <v>207</v>
      </c>
      <c r="K72" s="233"/>
      <c r="L72" s="245">
        <v>5</v>
      </c>
      <c r="M72" s="247"/>
      <c r="N72" s="288"/>
      <c r="O72" s="235"/>
      <c r="P72" s="235"/>
    </row>
    <row r="73" spans="2:16" ht="15" customHeight="1" x14ac:dyDescent="0.25">
      <c r="B73" s="234" t="s">
        <v>277</v>
      </c>
      <c r="C73" s="234"/>
      <c r="D73" s="301" t="s">
        <v>276</v>
      </c>
      <c r="E73" s="301"/>
      <c r="F73" s="300" t="s">
        <v>280</v>
      </c>
      <c r="G73" s="300"/>
      <c r="J73" s="232" t="s">
        <v>198</v>
      </c>
      <c r="K73" s="233"/>
      <c r="L73" s="13">
        <v>6</v>
      </c>
      <c r="M73" s="235"/>
      <c r="N73" s="235"/>
      <c r="O73" s="235"/>
      <c r="P73" s="235"/>
    </row>
    <row r="74" spans="2:16" x14ac:dyDescent="0.25">
      <c r="B74" s="234" t="s">
        <v>279</v>
      </c>
      <c r="C74" s="234"/>
      <c r="D74" s="301" t="s">
        <v>278</v>
      </c>
      <c r="E74" s="301"/>
      <c r="F74" s="300"/>
      <c r="G74" s="300"/>
      <c r="J74" s="232" t="s">
        <v>208</v>
      </c>
      <c r="K74" s="233"/>
      <c r="L74" s="137">
        <f>IF(AND(L26="Maksimalafbryder",M31="Micrologic"),M34/(N68*N67),IF(AND(L26="Maksimalafbryder",M31="TMD"),M41/(N68*N67),IF(L26="Sikring",M28/(N68*N67),"")))</f>
        <v>867.92452830188677</v>
      </c>
      <c r="M74" s="1" t="s">
        <v>6</v>
      </c>
      <c r="N74" s="1" t="s">
        <v>19</v>
      </c>
      <c r="O74" s="137">
        <f>L74/L73</f>
        <v>144.65408805031447</v>
      </c>
      <c r="P74" s="1" t="s">
        <v>6</v>
      </c>
    </row>
    <row r="75" spans="2:16" x14ac:dyDescent="0.25">
      <c r="B75" s="138" t="s">
        <v>291</v>
      </c>
      <c r="C75" s="2" t="s">
        <v>267</v>
      </c>
      <c r="D75" s="12">
        <f>IFERROR(IF(AND(D70="Jord",D71=TABELLER!AA98,'T1-A1'!D72&gt;0),TABELLER!AJ97,IF(AND(D70="Luft",D71=TABELLER!AB98,'T1-A1'!D72&gt;0),TABELLER!AK97,IF(AND(D70="Luft",D71=TABELLER!AA99,'T1-A1'!D72&gt;0),TABELLER!AJ98,IF(AND(D70="Luft",D71=TABELLER!AB99,'T1-A1'!D72&gt;0),TABELLER!AK98,"")))),"")</f>
        <v>50</v>
      </c>
      <c r="E75" s="1" t="s">
        <v>76</v>
      </c>
      <c r="J75" s="157" t="s">
        <v>211</v>
      </c>
      <c r="K75" s="2" t="s">
        <v>214</v>
      </c>
      <c r="L75" s="12">
        <f t="array" ref="L75">IF(AND(OR($O$71=Situation1),$L$70="Kobber",$L$69="PVC"),INDEX(TABELLER!$D$7:$D$27,MATCH($O$74,TABELLER!$E$7:$E$27)+(LOOKUP($O$74,TABELLER!$E$7:$E$27)&lt;&gt;$O$74)),IF(AND(OR($O$71=Situation2),$L$70="Kobber",$L$69="PVC"),INDEX(TABELLER!$D$7:$D$27,MATCH($O$74,TABELLER!$F$7:$F$27)+(LOOKUP($O$74,TABELLER!$F$7:$F$27)&lt;&gt;$O$74)),IF(AND(OR($O$71=Situation3),$L$70="Kobber",$L$69="PVC"),INDEX(TABELLER!$D$7:$D$27,MATCH($O$74,TABELLER!$G$7:$G$27)+(LOOKUP($O$74,TABELLER!$G$7:$G$27)&lt;&gt;$O$74)),IF(AND(OR($O$71=Situation4),$L$70="Kobber",$L$69="PVC"),INDEX(TABELLER!$D$7:$D$27,MATCH($O$74,TABELLER!$H$7:$H$27)+(LOOKUP($O$74,TABELLER!$H$7:$H$27)&lt;&gt;$O$74)),IF(AND(OR($O$71=Situation5),$L$70="Kobber",$L$69="PVC"),INDEX(TABELLER!$D$7:$D$27,MATCH($O$74,TABELLER!$I$7:$I$27)+(LOOKUP($O$74,TABELLER!$I$7:$I$27)&lt;&gt;$O$74)),IF(AND(OR($O$71=Situation1),$L$70="Kobber",$L$69="XLPE"),INDEX(TABELLER!$D$49:$D$64,MATCH($O$74,TABELLER!$E$49:$E$64)+(LOOKUP($O$74,TABELLER!$E$49:$E$64)&lt;&gt;$O$74)),IF(AND(OR($O$71=Situation2),$L$70="Kobber",$L$69="XLPE"),INDEX(TABELLER!$D$49:$D$64,MATCH($O$74,TABELLER!$F$49:$F$64)+(LOOKUP($O$74,TABELLER!$F$49:$F$66)&lt;&gt;$O$74)),IF(AND(OR($O$71=Situation3),$L$70="Kobber",$L$69="XLPE"),INDEX(TABELLER!$D$49:$D$64,MATCH($O$74,TABELLER!$G$49:$G$64)+(LOOKUP($O$74,TABELLER!$G$49:$G$64)&lt;&gt;$O$74)),IF(AND(OR($O$71=Situation4),$L$70="Kobber",$L$69="XLPE"),INDEX(TABELLER!$D$49:$D$64,MATCH($O$74,TABELLER!$H$49:$H$64)+(LOOKUP($O$74,TABELLER!$H$49:$H$64)&lt;&gt;$O$74)),IF(AND(OR($O$71=Situation5),$L$70="Kobber",$L$69="XLPE"),INDEX(TABELLER!$D$49:$D$64,MATCH($O$74,TABELLER!$I$49:$I$64)+(LOOKUP($O$74,TABELLER!$I$49:$I$64)&lt;&gt;$O$74)),IF(AND(OR($O$71=Situation1),$L$70="Aluminium",$L$69="PVC"),INDEX(TABELLER!$D$29:$D$39,MATCH($O$74,TABELLER!$E$29:$E$39)+(LOOKUP($O$74,TABELLER!$E$29:$E$39)&lt;&gt;$O$74)),IF(AND(OR($O$71=Situation2),$L$70="Aluminium",$L$69="PVC"),INDEX(TABELLER!$D$29:$D$39,MATCH($O$74,TABELLER!$F$29:$F$39)+(LOOKUP($O$74,TABELLER!$F$29:$F$39)&lt;&gt;$O$74)),IF(AND(OR($O$71=Situation3),$L$70="Aluminium",$L$69="PVC"),INDEX(TABELLER!$D$29:$D$39,MATCH($O$74,TABELLER!$G$29:$G$39)+(LOOKUP($O$74,TABELLER!$G$29:$G$39)&lt;&gt;$O$74)),IF(AND(OR($O$71=Situation4),$L$70="Aluminium",$L$69="PVC"),INDEX(TABELLER!$D$29:$D$39,MATCH($O$74,TABELLER!$H$29:$H$39)+(LOOKUP($O$74,TABELLER!$H$29:$H$39)&lt;&gt;$O$74)),IF(AND(OR($O$71=Situation5),$L$70="Aluminium",$L$69="PVC"),INDEX(TABELLER!$D$29:$D$39,MATCH($O$74,TABELLER!$I$29:$I$39)+(LOOKUP($O$74,TABELLER!$I$29:$I$39)&lt;&gt;$O$74)),IF(AND(OR($O$71=Situation1),$L$70="Aluminium",$L$69="XLPE"),INDEX(TABELLER!$D$66:$D$76,MATCH($O$74,TABELLER!$E$66:$E$76)+(LOOKUP($O$74,TABELLER!$E$66:$E$76)&lt;&gt;$O$74)),IF(AND(OR($O$71=Situation2),$L$70="Aluminium",$L$69="XLPE"),INDEX(TABELLER!$D$66:$D$76,MATCH($O$74,TABELLER!$F$66:$F$76)+(LOOKUP($O$74,TABELLER!$F$66:$F$76)&lt;&gt;$O$74)),IF(AND(OR($O$71=Situation3),$L$70="Aluminium",$L$69="XLPE"),INDEX(TABELLER!$D$66:$D$76,MATCH($O$74,TABELLER!$G$66:$G$76)+(LOOKUP($O$74,TABELLER!$G$66:$G$76)&lt;&gt;$O$74)),IF(AND(OR($O$71=Situation4),$L$70="Aluminium",$L$69="XLPE"),INDEX(TABELLER!$D$66:$D$76,MATCH($O$74,TABELLER!$H$66:$H$76)+(LOOKUP($O$74,TABELLER!$H$66:$H$76)&lt;&gt;$O$74)),IF(AND(OR($O$71=Situation5),$L$70="Aluminium",$L$69="XLPE"),INDEX(TABELLER!$D$66:$D$76,MATCH($O$74,TABELLER!$I$66:$I$76)+(LOOKUP($O$74,TABELLER!$I$66:$I$76)&lt;&gt;$O$74)),""))))))))))))))))))))</f>
        <v>70</v>
      </c>
      <c r="M75" s="1" t="s">
        <v>76</v>
      </c>
      <c r="N75" s="279" t="s">
        <v>226</v>
      </c>
      <c r="O75" s="280"/>
      <c r="P75" s="281"/>
    </row>
    <row r="76" spans="2:16" x14ac:dyDescent="0.25">
      <c r="B76" s="234" t="s">
        <v>234</v>
      </c>
      <c r="C76" s="234"/>
      <c r="D76" s="12">
        <f>IFERROR(IF(AND(D70="Jord",D71=TABELLER!AA98,'T1-A1'!D72&gt;0),TABELLER!AG97,IF(AND(D70="Luft",D71=TABELLER!AB98,'T1-A1'!D72&gt;0),TABELLER!AH97,IF(AND(D70="Luft",D71=TABELLER!AA99,'T1-A1'!D72&gt;0),TABELLER!AG98,IF(AND(D70="Luft",D71=TABELLER!AB99,'T1-A1'!D72&gt;0),TABELLER!AH98,"")))),"")</f>
        <v>170</v>
      </c>
      <c r="E76" s="1" t="s">
        <v>6</v>
      </c>
      <c r="J76" s="232" t="s">
        <v>234</v>
      </c>
      <c r="K76" s="233"/>
      <c r="L76" s="12">
        <f t="array" ref="L76">IF(AND(OR($L$71=Situation1),$L$69="PVC",$L$70="Kobber"),VLOOKUP(L75,TABELLER!$D$7:$I$27,2,FALSE),IF(AND(OR($L$71=Situation2),$L$69="PVC",$L$70="Kobber"),VLOOKUP(L75,TABELLER!$D$7:$I$27,3,FALSE),IF(AND(OR($L$71=Situation3),$L$69="PVC",$L$70="Kobber"),VLOOKUP(L75,TABELLER!$D$7:$I$27,4,FALSE),IF(AND(OR($L$71=Situation4),$L$69="PVC",$L$70="Kobber"),VLOOKUP(L75,TABELLER!$D$7:$I$27,5,FALSE),IF(AND(OR($L$71=Situation5),$L$69="PVC",$L$70="Kobber"),VLOOKUP(L75,TABELLER!$D$7:$I$27,6,FALSE),IF(AND(OR($L$71=Situation1),$L$69="XLPE",$L$70="Kobber"),VLOOKUP(L75,TABELLER!$D$49:$I$64,2,FALSE),IF(AND(OR($L$71=Situation2),$L$69="XLPE",$L$70="Kobber"),VLOOKUP(L75,TABELLER!$D$49:$I$64,3,FALSE),IF(AND(OR($L$71=Situation3),$L$69="XLPE",$L$70="Kobber"),VLOOKUP(L75,TABELLER!$D$49:$I$64,4,FALSE),IF(AND(OR($L$71=Situation4),$L$69="XLPE",$L$70="Kobber"),VLOOKUP(L75,TABELLER!$D$49:$I$64,5,FALSE),IF(AND(OR($L$71=Situation5),$L$69="XLPE",$L$70="Kobber"),VLOOKUP(L75,TABELLER!$D$49:$I$64,6,FALSE),IF(AND(OR($L$71=Situation1),$L$69="PVC",$L$70="Aluminium"),VLOOKUP(L75,TABELLER!$D$29:$I$39,2,FALSE),IF(AND(OR($L$71=Situation2),$L$69="PVC",$L$70="Aluminium"),VLOOKUP(L75,TABELLER!$D$29:$I$39,3,FALSE),IF(AND(OR($L$71=Situation3),$L$69="PVC",$L$70="Aluminium"),VLOOKUP(L75,TABELLER!$D$29:$I$39,4,FALSE),IF(AND(OR($L$71=Situation4),$L$69="PVC",$L$70="Aluminium"),VLOOKUP(L75,TABELLER!$D$29:$I$39,5,FALSE),IF(AND(OR($L$71=Situation5),$L$69="PVC",$L$70="Aluminium"),VLOOKUP(L75,TABELLER!$D$29:$I$39,6,FALSE),IF(AND(OR($L$71=Situation1),$L$69="XLPE",$L$70="Aluminium"),VLOOKUP(L75,TABELLER!$D$66:$I$76,2,FALSE),IF(AND(OR($L$71=Situation2),$L$69="XLPE",$L$70="Aluminium"),VLOOKUP(L75,TABELLER!$D$66:$I$76,3,FALSE),IF(AND(OR($L$71=Situation3),$L$69="XLPE",$L$70="Aluminium"),VLOOKUP(L75,TABELLER!$D$66:$I$76,4,FALSE),IF(AND(OR($L$71=Situation4),$L$69="XLPE",$L$70="Aluminium"),VLOOKUP(L75,TABELLER!$D$66:$I$76,5,FALSE),IF(AND(OR($L$71=Situation5),$L$69="XLPE",$L$70="Aluminium"),VLOOKUP(L75,TABELLER!$D$66:$I$76,6,FALSE),""))))))))))))))))))))</f>
        <v>149</v>
      </c>
      <c r="M76" s="1" t="s">
        <v>6</v>
      </c>
      <c r="N76" s="282"/>
      <c r="O76" s="283"/>
      <c r="P76" s="284"/>
    </row>
    <row r="77" spans="2:16" ht="15" customHeight="1" x14ac:dyDescent="0.25">
      <c r="B77" s="234" t="s">
        <v>265</v>
      </c>
      <c r="C77" s="234"/>
      <c r="D77" s="12">
        <f ca="1">IF(AND(D75&gt;0,D71=TABELLER!AA102),TABELLER!AM97,IF(AND(D75&gt;0,D71=TABELLER!AA109),TABELLER!AN97,""))</f>
        <v>4.7000000000000011</v>
      </c>
      <c r="E77" s="1" t="s">
        <v>281</v>
      </c>
      <c r="J77" s="234" t="s">
        <v>213</v>
      </c>
      <c r="K77" s="234"/>
      <c r="L77" s="137">
        <f>$M$29*100/($N$67*$N$68*L76*$L$73)</f>
        <v>95.9569745867271</v>
      </c>
      <c r="M77" s="94" t="s">
        <v>18</v>
      </c>
      <c r="N77" s="282"/>
      <c r="O77" s="283"/>
      <c r="P77" s="284"/>
    </row>
    <row r="78" spans="2:16" x14ac:dyDescent="0.25">
      <c r="B78" s="234" t="s">
        <v>266</v>
      </c>
      <c r="C78" s="234"/>
      <c r="D78" s="12">
        <f ca="1">IF(AND(D75&gt;0,D71=TABELLER!AA102),TABELLER!AM98,IF(AND(D75&gt;0,D71=TABELLER!AA109),TABELLER!AN98,""))</f>
        <v>3.1999999999999997</v>
      </c>
      <c r="E78" s="1" t="s">
        <v>281</v>
      </c>
      <c r="J78" s="138" t="str">
        <f>J75</f>
        <v>S_(T1-A1)</v>
      </c>
      <c r="K78" s="2" t="s">
        <v>215</v>
      </c>
      <c r="L78" s="12">
        <f t="array" ref="L78">IFERROR(IF(AND(L77&gt;=75,$L$69="PVC",$L$70="Kobber"),SMALL(TABELLER!$D$7:$D$27,COUNTIF(TABELLER!$D$7:$D$27,"&lt;"&amp;L75)+2),IF(AND(L77&gt;=75,$L$69="XLPE",$L$70="Kobber"),SMALL(TABELLER!$D$49:$D$64,COUNTIF(TABELLER!$D$49:$D$64,"&lt;"&amp;L75)+2),IF(AND(L77&gt;=75,$L$69="PVC",$L$70="Aluminium"),SMALL(TABELLER!$D$29:$D$39,COUNTIF(TABELLER!$D$29:$D$39,"&lt;"&amp;L75)+2),IF(AND(L77&gt;=75,$L$69="XLPE",$L$70="Aluminium"),SMALL(TABELLER!$D$66:$D$76,COUNTIF(TABELLER!$D$66:$D$76,"&lt;"&amp;L75)+2),"")))),"")</f>
        <v>95</v>
      </c>
      <c r="M78" s="94" t="s">
        <v>76</v>
      </c>
      <c r="N78" s="282"/>
      <c r="O78" s="283"/>
      <c r="P78" s="284"/>
    </row>
    <row r="79" spans="2:16" x14ac:dyDescent="0.25">
      <c r="B79" s="234" t="str">
        <f>IF(D26="Sikring","Sikringenssmeltetid",IF(D26="Konstanttidsrelæ","t&gt;&gt;",""))</f>
        <v>t&gt;&gt;</v>
      </c>
      <c r="C79" s="234"/>
      <c r="D79" s="13">
        <f>E34</f>
        <v>0.08</v>
      </c>
      <c r="E79" s="94" t="s">
        <v>68</v>
      </c>
      <c r="J79" s="232" t="s">
        <v>234</v>
      </c>
      <c r="K79" s="233"/>
      <c r="L79" s="12">
        <f t="array" ref="L79">IFERROR(IF(AND(OR($L$71=Situation1),$L$69="PVC",$L$70="Kobber"),VLOOKUP(L78,TABELLER!$D$7:$I$27,2,FALSE),IF(AND(OR($L$71=Situation2),$L$69="PVC",$L$70="Kobber"),VLOOKUP(L78,TABELLER!$D$7:$I$27,3,FALSE),IF(AND(OR($L$71=Situation3),$L$69="PVC",$L$70="Kobber"),VLOOKUP(L78,TABELLER!$D$7:$I$27,4,FALSE),IF(AND(OR($L$71=Situation4),$L$69="PVC",$L$70="Kobber"),VLOOKUP(L78,TABELLER!$D$7:$I$27,5,FALSE),IF(AND(OR($L$71=Situation5),$L$69="PVC",$L$70="Kobber"),VLOOKUP(L78,TABELLER!$D$7:$I$27,6,FALSE),IF(AND(OR($L$71=Situation1),$L$69="XLPE",$L$70="Kobber"),VLOOKUP(L78,TABELLER!$D$49:$I$64,2,FALSE),IF(AND(OR($L$71=Situation2),$L$69="XLPE",$L$70="Kobber"),VLOOKUP(L78,TABELLER!$D$49:$I$64,3,FALSE),IF(AND(OR($L$71=Situation3),$L$69="XLPE",$L$70="Kobber"),VLOOKUP(L78,TABELLER!$D$49:$I$64,4,FALSE),IF(AND(OR($L$71=Situation4),$L$69="XLPE",$L$70="Kobber"),VLOOKUP(L78,TABELLER!$D$49:$I$64,5,FALSE),IF(AND(OR($L$71=Situation5),$L$69="XLPE",$L$70="Kobber"),VLOOKUP(L78,TABELLER!$D$49:$I$64,6,FALSE),IF(AND(OR($L$71=Situation1),$L$69="PVC",$L$70="Aluminium"),VLOOKUP(L78,TABELLER!$D$29:$I$39,2,FALSE),IF(AND(OR($L$71=Situation2),$L$69="PVC",$L$70="Aluminium"),VLOOKUP(L78,TABELLER!$D$29:$I$39,3,FALSE),IF(AND(OR($L$71=Situation3),$L$69="PVC",$L$70="Aluminium"),VLOOKUP(L78,TABELLER!$D$29:$I$39,4,FALSE),IF(AND(OR($L$71=Situation4),$L$69="PVC",$L$70="Aluminium"),VLOOKUP(L78,TABELLER!$D$29:$I$39,5,FALSE),IF(AND(OR($L$71=Situation5),$L$69="PVC",$L$70="Aluminium"),VLOOKUP(L78,TABELLER!$D$29:$I$39,6,FALSE),IF(AND(OR($L$71=Situation1),$L$69="XLPE",$L$70="Aluminium"),VLOOKUP(L78,TABELLER!$D$66:$I$76,2,FALSE),IF(AND(OR($L$71=Situation2),$L$69="XLPE",$L$70="Aluminium"),VLOOKUP(L78,TABELLER!$D$66:$I$76,3,FALSE),IF(AND(OR($L$71=Situation3),$L$69="XLPE",$L$70="Aluminium"),VLOOKUP(L78,TABELLER!$D$66:$I$76,4,FALSE),IF(AND(OR($L$71=Situation4),$L$69="XLPE",$L$70="Aluminium"),VLOOKUP(L78,TABELLER!$D$66:$I$76,5,FALSE),IF(AND(OR($L$71=Situation5),$L$69="XLPE",$L$70="Aluminium"),VLOOKUP(L78,TABELLER!$D$66:$I$76,6,FALSE),"")))))))))))))))))))),"")</f>
        <v>179</v>
      </c>
      <c r="M79" s="1" t="s">
        <v>6</v>
      </c>
      <c r="N79" s="282"/>
      <c r="O79" s="283"/>
      <c r="P79" s="284"/>
    </row>
    <row r="80" spans="2:16" ht="15" customHeight="1" x14ac:dyDescent="0.25">
      <c r="B80" s="232" t="s">
        <v>229</v>
      </c>
      <c r="C80" s="237"/>
      <c r="D80" s="237"/>
      <c r="E80" s="233"/>
      <c r="J80" s="234" t="s">
        <v>213</v>
      </c>
      <c r="K80" s="234"/>
      <c r="L80" s="137">
        <f>IFERROR($M$29*100/($N$67*$N$68*L79*$L$73),0)</f>
        <v>79.874800074985117</v>
      </c>
      <c r="M80" s="94" t="s">
        <v>18</v>
      </c>
      <c r="N80" s="282"/>
      <c r="O80" s="283"/>
      <c r="P80" s="284"/>
    </row>
    <row r="81" spans="2:18" ht="18.75" x14ac:dyDescent="0.25">
      <c r="B81" s="1" t="str">
        <f>B78</f>
        <v>Ik_skærm</v>
      </c>
      <c r="C81" s="182" t="s">
        <v>166</v>
      </c>
      <c r="D81" s="1" t="str">
        <f>CONCATENATE(O6," * √(",B79,")")</f>
        <v>I'_kFN * √(t&gt;&gt;)</v>
      </c>
      <c r="E81" s="1"/>
      <c r="J81" s="148" t="str">
        <f>J78</f>
        <v>S_(T1-A1)</v>
      </c>
      <c r="K81" s="149" t="s">
        <v>225</v>
      </c>
      <c r="L81" s="12">
        <f t="array" ref="L81">IFERROR(IF(AND(L80&gt;=75,$L$69="PVC",$L$70="Kobber"),SMALL(TABELLER!$D$7:$D$27,COUNTIF(TABELLER!$D$7:$D$27,"&lt;"&amp;L78)+2),IF(AND(L80&gt;=75,$L$69="XLPE",$L$70="Kobber"),SMALL(TABELLER!$D$49:$D$64,COUNTIF(TABELLER!$D$49:$D$64,"&lt;"&amp;L78)+2),IF(AND(L80&gt;=75,$L$69="PVC",$L$70="Aluminium"),SMALL(TABELLER!$D$29:$D$39,COUNTIF(TABELLER!$D$29:$D$39,"&lt;"&amp;L78)+2),IF(AND(L80&gt;=75,$L$69="XLPE",$L$70="Aluminium"),SMALL(TABELLER!$D$66:$D$76,COUNTIF(TABELLER!$D$66:$D$76,"&lt;"&amp;L78)+2),"")))),"")</f>
        <v>120</v>
      </c>
      <c r="M81" s="94" t="s">
        <v>76</v>
      </c>
      <c r="N81" s="282"/>
      <c r="O81" s="283"/>
      <c r="P81" s="284"/>
    </row>
    <row r="82" spans="2:18" ht="18.75" x14ac:dyDescent="0.25">
      <c r="B82" s="1">
        <f ca="1">D78*10^3</f>
        <v>3199.9999999999995</v>
      </c>
      <c r="C82" s="182" t="s">
        <v>166</v>
      </c>
      <c r="D82" s="185">
        <f>IF(D26="Konstanttidsrelæ",P6*SQRT(D79),"")</f>
        <v>108.17810666196971</v>
      </c>
      <c r="E82" s="165" t="str">
        <f ca="1">IF(B82&gt;=D82,"--&gt; OK!",IF(D82&gt;B82,"IKKE OK!",""))</f>
        <v>--&gt; OK!</v>
      </c>
      <c r="J82" s="295" t="s">
        <v>234</v>
      </c>
      <c r="K82" s="231"/>
      <c r="L82" s="12">
        <f t="array" ref="L82">IFERROR(IF(AND(OR($L$71=Situation1),$L$69="PVC",$L$70="Kobber"),VLOOKUP(L81,TABELLER!$D$7:$I$27,2,FALSE),IF(AND(OR($L$71=Situation2),$L$69="PVC",$L$70="Kobber"),VLOOKUP(L81,TABELLER!$D$7:$I$27,3,FALSE),IF(AND(OR($L$71=Situation3),$L$69="PVC",$L$70="Kobber"),VLOOKUP(L81,TABELLER!$D$7:$I$27,4,FALSE),IF(AND(OR($L$71=Situation4),$L$69="PVC",$L$70="Kobber"),VLOOKUP(L81,TABELLER!$D$7:$I$27,5,FALSE),IF(AND(OR($L$71=Situation5),$L$69="PVC",$L$70="Kobber"),VLOOKUP(L81,TABELLER!$D$7:$I$27,6,FALSE),IF(AND(OR($L$71=Situation1),$L$69="XLPE",$L$70="Kobber"),VLOOKUP(L81,TABELLER!$D$49:$I$64,2,FALSE),IF(AND(OR($L$71=Situation2),$L$69="XLPE",$L$70="Kobber"),VLOOKUP(L81,TABELLER!$D$49:$I$64,3,FALSE),IF(AND(OR($L$71=Situation3),$L$69="XLPE",$L$70="Kobber"),VLOOKUP(L81,TABELLER!$D$49:$I$64,4,FALSE),IF(AND(OR($L$71=Situation4),$L$69="XLPE",$L$70="Kobber"),VLOOKUP(L81,TABELLER!$D$49:$I$64,5,FALSE),IF(AND(OR($L$71=Situation5),$L$69="XLPE",$L$70="Kobber"),VLOOKUP(L81,TABELLER!$D$49:$I$64,6,FALSE),IF(AND(OR($L$71=Situation1),$L$69="PVC",$L$70="Aluminium"),VLOOKUP(L81,TABELLER!$D$29:$I$39,2,FALSE),IF(AND(OR($L$71=Situation2),$L$69="PVC",$L$70="Aluminium"),VLOOKUP(L81,TABELLER!$D$29:$I$39,3,FALSE),IF(AND(OR($L$71=Situation3),$L$69="PVC",$L$70="Aluminium"),VLOOKUP(L81,TABELLER!$D$29:$I$39,4,FALSE),IF(AND(OR($L$71=Situation4),$L$69="PVC",$L$70="Aluminium"),VLOOKUP(L81,TABELLER!$D$29:$I$39,5,FALSE),IF(AND(OR($L$71=Situation5),$L$69="PVC",$L$70="Aluminium"),VLOOKUP(L81,TABELLER!$D$29:$I$39,6,FALSE),IF(AND(OR($L$71=Situation1),$L$69="XLPE",$L$70="Aluminium"),VLOOKUP(L81,TABELLER!$D$66:$I$76,2,FALSE),IF(AND(OR($L$71=Situation2),$L$69="XLPE",$L$70="Aluminium"),VLOOKUP(L81,TABELLER!$D$66:$I$76,3,FALSE),IF(AND(OR($L$71=Situation3),$L$69="XLPE",$L$70="Aluminium"),VLOOKUP(L81,TABELLER!$D$66:$I$76,4,FALSE),IF(AND(OR($L$71=Situation4),$L$69="XLPE",$L$70="Aluminium"),VLOOKUP(L81,TABELLER!$D$66:$I$76,5,FALSE),IF(AND(OR($L$71=Situation5),$L$69="XLPE",$L$70="Aluminium"),VLOOKUP(L81,TABELLER!$D$66:$I$76,6,FALSE),"")))))))))))))))))))),"")</f>
        <v>206</v>
      </c>
      <c r="M82" s="94" t="s">
        <v>6</v>
      </c>
      <c r="N82" s="282"/>
      <c r="O82" s="283"/>
      <c r="P82" s="284"/>
    </row>
    <row r="83" spans="2:18" x14ac:dyDescent="0.25">
      <c r="J83" s="264" t="s">
        <v>213</v>
      </c>
      <c r="K83" s="264"/>
      <c r="L83" s="137">
        <f>IFERROR($M$29*100/($N$67*$N$68*L82*$L$73),0)</f>
        <v>69.405772880690947</v>
      </c>
      <c r="M83" s="94" t="s">
        <v>18</v>
      </c>
      <c r="N83" s="285"/>
      <c r="O83" s="286"/>
      <c r="P83" s="287"/>
    </row>
    <row r="84" spans="2:18" x14ac:dyDescent="0.25">
      <c r="J84" s="234" t="s">
        <v>229</v>
      </c>
      <c r="K84" s="234"/>
      <c r="L84" s="234"/>
      <c r="M84" s="234"/>
      <c r="N84" s="234"/>
      <c r="O84" s="234"/>
    </row>
    <row r="85" spans="2:18" ht="15" customHeight="1" x14ac:dyDescent="0.25">
      <c r="J85" s="235" t="s">
        <v>230</v>
      </c>
      <c r="K85" s="235"/>
      <c r="L85" s="235" t="s">
        <v>231</v>
      </c>
      <c r="M85" s="235"/>
      <c r="N85" s="235" t="s">
        <v>232</v>
      </c>
      <c r="O85" s="235"/>
    </row>
    <row r="86" spans="2:18" ht="18.75" x14ac:dyDescent="0.25">
      <c r="J86" s="117">
        <f>M29</f>
        <v>909.3266739736606</v>
      </c>
      <c r="K86" s="156" t="s">
        <v>165</v>
      </c>
      <c r="L86" s="151">
        <f>IF(L26="Sikring",M28,IF(AND(L26="Maksimalafbryder",M31="Micrologic"),M34,IF(AND(L26="Maksimalafbryder",M31="TMD"),M41,"")))</f>
        <v>920</v>
      </c>
      <c r="M86" s="156" t="s">
        <v>165</v>
      </c>
      <c r="N86" s="223">
        <f>DATA!I5*L73*N67*'T1-A1'!N68</f>
        <v>1310.1600000000001</v>
      </c>
      <c r="O86" s="225"/>
    </row>
    <row r="87" spans="2:18" ht="18.75" x14ac:dyDescent="0.25">
      <c r="C87" t="s">
        <v>107</v>
      </c>
      <c r="J87" s="215" t="s">
        <v>268</v>
      </c>
      <c r="K87" s="216" t="s">
        <v>166</v>
      </c>
      <c r="L87" s="230" t="str">
        <f>CONCATENATE(O4,"^2 * ",P87)</f>
        <v>I_k3F_max^2 * t_MA</v>
      </c>
      <c r="M87" s="230"/>
      <c r="N87" s="230"/>
      <c r="O87" s="231"/>
      <c r="P87" t="str">
        <f>IF(L26="Sikring","t_s",IF(L26="Maksimalafbryder","t_MA",""))</f>
        <v>t_MA</v>
      </c>
      <c r="Q87" s="217">
        <v>0.8</v>
      </c>
      <c r="R87" t="s">
        <v>157</v>
      </c>
    </row>
    <row r="88" spans="2:18" ht="18.75" x14ac:dyDescent="0.25">
      <c r="C88" t="s">
        <v>120</v>
      </c>
      <c r="D88" t="s">
        <v>228</v>
      </c>
      <c r="J88" s="186">
        <f>K90*(O90*Q88)^2</f>
        <v>1142640000</v>
      </c>
      <c r="K88" s="187" t="s">
        <v>166</v>
      </c>
      <c r="L88" s="188">
        <f>P4^2*Q87</f>
        <v>219421926.7681593</v>
      </c>
      <c r="M88" s="187"/>
      <c r="N88" s="228" t="str">
        <f>IF(J88&gt;=L88,"--&gt; OK!",IF(L88&gt;J88,"IKKE OK!!",""))</f>
        <v>--&gt; OK!</v>
      </c>
      <c r="O88" s="229"/>
      <c r="P88" t="s">
        <v>83</v>
      </c>
      <c r="Q88" s="116">
        <f>IF(AND(L69="PVC",O90&lt;=300,L70="Kobber"),TABELLER!Z85,IF(AND(L69="PVC",O90&lt;=300,L70="Aluminium"),TABELLER!Z86,IF(AND(L69="PVC",O90&gt;300,L70="Kobber"),TABELLER!AA85,IF(AND(L69="PVC",O90&gt;300,L70="Aluminium"),TABELLER!AA86,IF(AND(L69="XLPE",L70="Kobber"),TABELLER!AB85,IF(AND(L69="XLPE",L70="Aluminium"),TABELLER!AB86,""))))))</f>
        <v>115</v>
      </c>
    </row>
    <row r="89" spans="2:18" x14ac:dyDescent="0.25">
      <c r="C89">
        <v>7</v>
      </c>
      <c r="D89">
        <v>29</v>
      </c>
      <c r="J89" s="232" t="s">
        <v>233</v>
      </c>
      <c r="K89" s="237"/>
      <c r="L89" s="237"/>
      <c r="M89" s="237"/>
      <c r="N89" s="237"/>
      <c r="O89" s="233"/>
    </row>
    <row r="90" spans="2:18" x14ac:dyDescent="0.25">
      <c r="C90">
        <v>27</v>
      </c>
      <c r="D90">
        <v>39</v>
      </c>
      <c r="J90" s="160" t="str">
        <f>J81</f>
        <v>S_(T1-A1)</v>
      </c>
      <c r="K90" s="162">
        <f>IF(L73&gt;1,L73,"")</f>
        <v>6</v>
      </c>
      <c r="L90" s="159" t="str">
        <f>IF(L73&gt;1,"x","")</f>
        <v>x</v>
      </c>
      <c r="M90" s="159">
        <v>4</v>
      </c>
      <c r="N90" s="159" t="s">
        <v>255</v>
      </c>
      <c r="O90" s="159">
        <f>DATA!H5</f>
        <v>120</v>
      </c>
      <c r="P90" s="161" t="s">
        <v>76</v>
      </c>
    </row>
    <row r="91" spans="2:18" x14ac:dyDescent="0.25">
      <c r="C91" t="s">
        <v>123</v>
      </c>
    </row>
    <row r="92" spans="2:18" x14ac:dyDescent="0.25">
      <c r="C92" t="s">
        <v>120</v>
      </c>
      <c r="D92" t="s">
        <v>228</v>
      </c>
    </row>
    <row r="93" spans="2:18" x14ac:dyDescent="0.25">
      <c r="C93">
        <v>49</v>
      </c>
      <c r="D93">
        <v>66</v>
      </c>
    </row>
    <row r="94" spans="2:18" x14ac:dyDescent="0.25">
      <c r="C94">
        <v>64</v>
      </c>
      <c r="D94">
        <v>76</v>
      </c>
    </row>
  </sheetData>
  <mergeCells count="152">
    <mergeCell ref="B73:C73"/>
    <mergeCell ref="D73:E73"/>
    <mergeCell ref="B74:C74"/>
    <mergeCell ref="D74:E74"/>
    <mergeCell ref="B55:H55"/>
    <mergeCell ref="B49:H49"/>
    <mergeCell ref="B13:C13"/>
    <mergeCell ref="B16:C16"/>
    <mergeCell ref="B38:E38"/>
    <mergeCell ref="B61:C61"/>
    <mergeCell ref="B57:C57"/>
    <mergeCell ref="B58:E58"/>
    <mergeCell ref="B60:C60"/>
    <mergeCell ref="B48:H48"/>
    <mergeCell ref="E60:F60"/>
    <mergeCell ref="B65:F65"/>
    <mergeCell ref="B68:C68"/>
    <mergeCell ref="D68:E68"/>
    <mergeCell ref="B69:C69"/>
    <mergeCell ref="D69:E69"/>
    <mergeCell ref="B72:C72"/>
    <mergeCell ref="B70:C70"/>
    <mergeCell ref="D70:E70"/>
    <mergeCell ref="B71:C71"/>
    <mergeCell ref="D71:E71"/>
    <mergeCell ref="J89:O89"/>
    <mergeCell ref="B66:C66"/>
    <mergeCell ref="B67:C67"/>
    <mergeCell ref="D67:E67"/>
    <mergeCell ref="B76:C76"/>
    <mergeCell ref="N69:N70"/>
    <mergeCell ref="N75:P83"/>
    <mergeCell ref="N71:N72"/>
    <mergeCell ref="O72:P73"/>
    <mergeCell ref="M73:N73"/>
    <mergeCell ref="L72:M72"/>
    <mergeCell ref="O67:P70"/>
    <mergeCell ref="L71:M71"/>
    <mergeCell ref="J82:K82"/>
    <mergeCell ref="J83:K83"/>
    <mergeCell ref="L66:P66"/>
    <mergeCell ref="J79:K79"/>
    <mergeCell ref="L70:M70"/>
    <mergeCell ref="J80:K80"/>
    <mergeCell ref="F73:G74"/>
    <mergeCell ref="B77:C77"/>
    <mergeCell ref="B78:C78"/>
    <mergeCell ref="B79:C79"/>
    <mergeCell ref="B80:E80"/>
    <mergeCell ref="O3:Q3"/>
    <mergeCell ref="O7:Q7"/>
    <mergeCell ref="B24:N24"/>
    <mergeCell ref="B15:C15"/>
    <mergeCell ref="I17:J17"/>
    <mergeCell ref="L17:M17"/>
    <mergeCell ref="J25:N25"/>
    <mergeCell ref="B3:E3"/>
    <mergeCell ref="I3:M3"/>
    <mergeCell ref="B20:C20"/>
    <mergeCell ref="I10:K10"/>
    <mergeCell ref="L8:M14"/>
    <mergeCell ref="L4:M4"/>
    <mergeCell ref="L15:M15"/>
    <mergeCell ref="L16:M16"/>
    <mergeCell ref="B4:C4"/>
    <mergeCell ref="B5:C5"/>
    <mergeCell ref="B8:C8"/>
    <mergeCell ref="B9:C9"/>
    <mergeCell ref="B10:C10"/>
    <mergeCell ref="B11:C11"/>
    <mergeCell ref="B12:C12"/>
    <mergeCell ref="B22:C22"/>
    <mergeCell ref="B6:C6"/>
    <mergeCell ref="B39:C39"/>
    <mergeCell ref="D39:E39"/>
    <mergeCell ref="J51:K51"/>
    <mergeCell ref="E40:H40"/>
    <mergeCell ref="N46:P46"/>
    <mergeCell ref="I16:J16"/>
    <mergeCell ref="B18:C18"/>
    <mergeCell ref="B19:C19"/>
    <mergeCell ref="B14:C14"/>
    <mergeCell ref="B25:F25"/>
    <mergeCell ref="I15:J15"/>
    <mergeCell ref="B17:C17"/>
    <mergeCell ref="B30:C30"/>
    <mergeCell ref="B31:C31"/>
    <mergeCell ref="J40:L40"/>
    <mergeCell ref="J39:N39"/>
    <mergeCell ref="B50:E50"/>
    <mergeCell ref="J49:N49"/>
    <mergeCell ref="J50:K50"/>
    <mergeCell ref="B21:C21"/>
    <mergeCell ref="B7:C7"/>
    <mergeCell ref="J53:K53"/>
    <mergeCell ref="N45:P45"/>
    <mergeCell ref="L26:N26"/>
    <mergeCell ref="J55:K55"/>
    <mergeCell ref="B26:C26"/>
    <mergeCell ref="J26:K26"/>
    <mergeCell ref="J37:L37"/>
    <mergeCell ref="J27:L27"/>
    <mergeCell ref="J28:L28"/>
    <mergeCell ref="B32:C32"/>
    <mergeCell ref="B33:C33"/>
    <mergeCell ref="B34:C34"/>
    <mergeCell ref="B35:C35"/>
    <mergeCell ref="B36:C36"/>
    <mergeCell ref="D30:F30"/>
    <mergeCell ref="B29:F29"/>
    <mergeCell ref="B27:D27"/>
    <mergeCell ref="B28:D28"/>
    <mergeCell ref="D26:F26"/>
    <mergeCell ref="N55:N56"/>
    <mergeCell ref="J65:P65"/>
    <mergeCell ref="J67:K67"/>
    <mergeCell ref="J68:K68"/>
    <mergeCell ref="J69:K69"/>
    <mergeCell ref="B37:F37"/>
    <mergeCell ref="J30:L30"/>
    <mergeCell ref="J31:L31"/>
    <mergeCell ref="J32:L32"/>
    <mergeCell ref="J29:L29"/>
    <mergeCell ref="J33:L33"/>
    <mergeCell ref="J34:L34"/>
    <mergeCell ref="J35:L35"/>
    <mergeCell ref="J36:L36"/>
    <mergeCell ref="J38:L38"/>
    <mergeCell ref="J66:K66"/>
    <mergeCell ref="N50:N51"/>
    <mergeCell ref="J57:K57"/>
    <mergeCell ref="B53:C53"/>
    <mergeCell ref="B56:C56"/>
    <mergeCell ref="B52:C52"/>
    <mergeCell ref="B51:C51"/>
    <mergeCell ref="J56:K56"/>
    <mergeCell ref="J54:N54"/>
    <mergeCell ref="J52:K52"/>
    <mergeCell ref="N88:O88"/>
    <mergeCell ref="L87:O87"/>
    <mergeCell ref="J71:K71"/>
    <mergeCell ref="J72:K72"/>
    <mergeCell ref="J74:K74"/>
    <mergeCell ref="J73:K73"/>
    <mergeCell ref="J70:K70"/>
    <mergeCell ref="J76:K76"/>
    <mergeCell ref="J77:K77"/>
    <mergeCell ref="J85:K85"/>
    <mergeCell ref="L85:M85"/>
    <mergeCell ref="N85:O85"/>
    <mergeCell ref="N86:O86"/>
    <mergeCell ref="J84:O84"/>
  </mergeCells>
  <conditionalFormatting sqref="K45:N45">
    <cfRule type="expression" dxfId="19" priority="37">
      <formula>$K$45&lt;$M$45</formula>
    </cfRule>
    <cfRule type="expression" dxfId="18" priority="38">
      <formula>$K$45&gt;$M$45</formula>
    </cfRule>
  </conditionalFormatting>
  <conditionalFormatting sqref="K46:N46">
    <cfRule type="expression" dxfId="17" priority="29">
      <formula>$K$46&lt;$M$46</formula>
    </cfRule>
    <cfRule type="expression" dxfId="16" priority="30">
      <formula>$K$46&gt;$M$46</formula>
    </cfRule>
  </conditionalFormatting>
  <conditionalFormatting sqref="B40:E40">
    <cfRule type="expression" dxfId="15" priority="24">
      <formula>$B$40&gt;=$D$40</formula>
    </cfRule>
    <cfRule type="expression" dxfId="14" priority="25">
      <formula>$D$40&gt;=$B$40</formula>
    </cfRule>
  </conditionalFormatting>
  <conditionalFormatting sqref="J75:M77">
    <cfRule type="expression" dxfId="13" priority="21">
      <formula>$L$77&gt;75</formula>
    </cfRule>
    <cfRule type="expression" dxfId="12" priority="22">
      <formula>$L$77&lt;75</formula>
    </cfRule>
  </conditionalFormatting>
  <conditionalFormatting sqref="J81:M83">
    <cfRule type="expression" dxfId="11" priority="18">
      <formula>$L$83&gt;75</formula>
    </cfRule>
    <cfRule type="expression" dxfId="10" priority="19">
      <formula>$L$83&lt;75</formula>
    </cfRule>
  </conditionalFormatting>
  <conditionalFormatting sqref="J78:M80">
    <cfRule type="expression" dxfId="9" priority="20">
      <formula>$L$80&gt;75</formula>
    </cfRule>
    <cfRule type="expression" dxfId="8" priority="23">
      <formula>$L$80&lt;75</formula>
    </cfRule>
  </conditionalFormatting>
  <conditionalFormatting sqref="L86:O86">
    <cfRule type="expression" dxfId="7" priority="6">
      <formula>$N$86&lt;=$L$86</formula>
    </cfRule>
    <cfRule type="expression" dxfId="6" priority="7">
      <formula>$N$86&gt;=$L$86</formula>
    </cfRule>
  </conditionalFormatting>
  <conditionalFormatting sqref="J86:L86">
    <cfRule type="expression" dxfId="5" priority="5">
      <formula>$N$86&gt;=$L$86</formula>
    </cfRule>
    <cfRule type="expression" dxfId="4" priority="8">
      <formula>$J$86&lt;=$L$86</formula>
    </cfRule>
  </conditionalFormatting>
  <conditionalFormatting sqref="B82:E82">
    <cfRule type="expression" dxfId="3" priority="3">
      <formula>$D$82&gt;$B$82</formula>
    </cfRule>
    <cfRule type="expression" dxfId="2" priority="4">
      <formula>$B$82&gt;=$D$82</formula>
    </cfRule>
  </conditionalFormatting>
  <conditionalFormatting sqref="J88:O88">
    <cfRule type="expression" dxfId="1" priority="1">
      <formula>$L$88&gt;$J$88</formula>
    </cfRule>
    <cfRule type="expression" dxfId="0" priority="2">
      <formula>$J$88&gt;=$L$88</formula>
    </cfRule>
  </conditionalFormatting>
  <dataValidations count="8">
    <dataValidation type="list" allowBlank="1" showInputMessage="1" showErrorMessage="1" sqref="M31">
      <formula1>"Vælg Unit,TMD,Micrologic"</formula1>
    </dataValidation>
    <dataValidation type="list" allowBlank="1" showInputMessage="1" showErrorMessage="1" sqref="D68">
      <formula1>"Vælg leder antal,1,3"</formula1>
    </dataValidation>
    <dataValidation type="list" allowBlank="1" showInputMessage="1" showErrorMessage="1" sqref="D69:E69">
      <formula1>IF(AND(D68=1,D67="Kobber"),Kobber1,IF(AND(D68=1,D67="Aluminium"),Alum1,IF(AND(D68=3,D67="Kobber"),Kobber3,IF(AND(D68=3,D67="Aluminium"),Alum3,""))))</formula1>
    </dataValidation>
    <dataValidation type="list" allowBlank="1" showInputMessage="1" showErrorMessage="1" sqref="D70:E70">
      <formula1>"Vælg,Jord,Luft"</formula1>
    </dataValidation>
    <dataValidation type="list" allowBlank="1" showInputMessage="1" showErrorMessage="1" sqref="M90">
      <formula1>"1,3,4,5"</formula1>
    </dataValidation>
    <dataValidation type="list" allowBlank="1" showInputMessage="1" showErrorMessage="1" sqref="D21">
      <formula1>"TN,TT"</formula1>
    </dataValidation>
    <dataValidation type="list" allowBlank="1" showInputMessage="1" showErrorMessage="1" sqref="D73:E73">
      <formula1>"Vælg måde,Trekant S=D,Plan S=D,Plan S=D + 70mm"</formula1>
    </dataValidation>
    <dataValidation type="list" allowBlank="1" showInputMessage="1" showErrorMessage="1" sqref="D74:E74">
      <formula1>"Vælg skærm,Åben skærm,Sluttet skærm"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TABELLER!$A$25:$A$33</xm:f>
          </x14:formula1>
          <xm:sqref>M35 M40</xm:sqref>
        </x14:dataValidation>
        <x14:dataValidation type="list" allowBlank="1" showInputMessage="1" showErrorMessage="1">
          <x14:formula1>
            <xm:f>TABELLER!$N$2:$N$4</xm:f>
          </x14:formula1>
          <xm:sqref>E27</xm:sqref>
        </x14:dataValidation>
        <x14:dataValidation type="list" allowBlank="1" showInputMessage="1" showErrorMessage="1">
          <x14:formula1>
            <xm:f>TABELLER!$O$2:$O$12</xm:f>
          </x14:formula1>
          <xm:sqref>M27</xm:sqref>
        </x14:dataValidation>
        <x14:dataValidation type="list" allowBlank="1" showInputMessage="1" showErrorMessage="1">
          <x14:formula1>
            <xm:f>TABELLER!$N$13:$N$15</xm:f>
          </x14:formula1>
          <xm:sqref>L26:P26</xm:sqref>
        </x14:dataValidation>
        <x14:dataValidation type="list" allowBlank="1" showInputMessage="1" showErrorMessage="1">
          <x14:formula1>
            <xm:f>TABELLER!$K$62:$K$107</xm:f>
          </x14:formula1>
          <xm:sqref>D31</xm:sqref>
        </x14:dataValidation>
        <x14:dataValidation type="list" allowBlank="1" showInputMessage="1" showErrorMessage="1">
          <x14:formula1>
            <xm:f>TABELLER!$L$62:$L$121</xm:f>
          </x14:formula1>
          <xm:sqref>D32</xm:sqref>
        </x14:dataValidation>
        <x14:dataValidation type="list" allowBlank="1" showInputMessage="1" showErrorMessage="1">
          <x14:formula1>
            <xm:f>TABELLER!$M$62:$M$141</xm:f>
          </x14:formula1>
          <xm:sqref>D33</xm:sqref>
        </x14:dataValidation>
        <x14:dataValidation type="list" allowBlank="1" showInputMessage="1" showErrorMessage="1">
          <x14:formula1>
            <xm:f>TABELLER!$N$62:$N$136</xm:f>
          </x14:formula1>
          <xm:sqref>D34</xm:sqref>
        </x14:dataValidation>
        <x14:dataValidation type="list" allowBlank="1" showInputMessage="1" showErrorMessage="1">
          <x14:formula1>
            <xm:f>TABELLER!$O$62:$O$141</xm:f>
          </x14:formula1>
          <xm:sqref>D35</xm:sqref>
        </x14:dataValidation>
        <x14:dataValidation type="list" allowBlank="1" showInputMessage="1" showErrorMessage="1">
          <x14:formula1>
            <xm:f>TABELLER!$P$62:$P$136</xm:f>
          </x14:formula1>
          <xm:sqref>D36</xm:sqref>
        </x14:dataValidation>
        <x14:dataValidation type="list" allowBlank="1" showInputMessage="1" showErrorMessage="1">
          <x14:formula1>
            <xm:f>TABELLER!$N$57:$N$59</xm:f>
          </x14:formula1>
          <xm:sqref>C59</xm:sqref>
        </x14:dataValidation>
        <x14:dataValidation type="list" allowBlank="1" showInputMessage="1" showErrorMessage="1">
          <x14:formula1>
            <xm:f>TABELLER!$N$17:$N$19</xm:f>
          </x14:formula1>
          <xm:sqref>D26:F26</xm:sqref>
        </x14:dataValidation>
        <x14:dataValidation type="list" allowBlank="1" showInputMessage="1" showErrorMessage="1">
          <x14:formula1>
            <xm:f>TABELLER!$W$62:$W$64</xm:f>
          </x14:formula1>
          <xm:sqref>L69</xm:sqref>
        </x14:dataValidation>
        <x14:dataValidation type="list" allowBlank="1" showInputMessage="1" showErrorMessage="1">
          <x14:formula1>
            <xm:f>TABELLER!$V$67:$V$120</xm:f>
          </x14:formula1>
          <xm:sqref>L71:L72</xm:sqref>
        </x14:dataValidation>
        <x14:dataValidation type="list" allowBlank="1" showInputMessage="1" showErrorMessage="1">
          <x14:formula1>
            <xm:f>TABELLER!$X$77:$X$82</xm:f>
          </x14:formula1>
          <xm:sqref>L66</xm:sqref>
        </x14:dataValidation>
        <x14:dataValidation type="list" allowBlank="1" showInputMessage="1" showErrorMessage="1">
          <x14:formula1>
            <xm:f>TABELLER!$X$84:$X$93</xm:f>
          </x14:formula1>
          <xm:sqref>L68</xm:sqref>
        </x14:dataValidation>
        <x14:dataValidation type="list" allowBlank="1" showInputMessage="1" showErrorMessage="1">
          <x14:formula1>
            <xm:f>TABELLER!$AC$62:$AC$64</xm:f>
          </x14:formula1>
          <xm:sqref>L70 D67</xm:sqref>
        </x14:dataValidation>
        <x14:dataValidation type="list" allowBlank="1" showInputMessage="1" showErrorMessage="1">
          <x14:formula1>
            <xm:f>TABELLER!$AA$97:$AA$101</xm:f>
          </x14:formula1>
          <xm:sqref>D71:E71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7" sqref="B7"/>
    </sheetView>
  </sheetViews>
  <sheetFormatPr defaultRowHeight="15" x14ac:dyDescent="0.25"/>
  <sheetData>
    <row r="2" spans="2:2" x14ac:dyDescent="0.25">
      <c r="B2" t="s">
        <v>182</v>
      </c>
    </row>
    <row r="4" spans="2:2" x14ac:dyDescent="0.25">
      <c r="B4" t="s">
        <v>178</v>
      </c>
    </row>
    <row r="5" spans="2:2" x14ac:dyDescent="0.25">
      <c r="B5" t="s">
        <v>179</v>
      </c>
    </row>
    <row r="6" spans="2:2" x14ac:dyDescent="0.25">
      <c r="B6" t="s">
        <v>180</v>
      </c>
    </row>
    <row r="7" spans="2:2" x14ac:dyDescent="0.25">
      <c r="B7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E15" sqref="E15"/>
    </sheetView>
  </sheetViews>
  <sheetFormatPr defaultRowHeight="15" x14ac:dyDescent="0.25"/>
  <cols>
    <col min="6" max="6" width="9.140625" style="222"/>
    <col min="7" max="7" width="12.42578125" style="222" customWidth="1"/>
    <col min="9" max="10" width="9.140625" style="222"/>
    <col min="12" max="12" width="9.140625" style="222"/>
  </cols>
  <sheetData>
    <row r="1" spans="1:19" x14ac:dyDescent="0.25">
      <c r="B1" t="s">
        <v>356</v>
      </c>
      <c r="C1">
        <v>400</v>
      </c>
      <c r="D1" t="s">
        <v>4</v>
      </c>
    </row>
    <row r="2" spans="1:19" x14ac:dyDescent="0.25">
      <c r="B2" s="222" t="s">
        <v>342</v>
      </c>
      <c r="C2" s="222"/>
      <c r="D2" s="222"/>
      <c r="E2" s="222"/>
      <c r="G2" s="222" t="s">
        <v>0</v>
      </c>
      <c r="H2" s="222"/>
      <c r="K2" s="222"/>
      <c r="M2" s="222"/>
      <c r="N2" s="222" t="s">
        <v>343</v>
      </c>
      <c r="O2" s="222"/>
      <c r="P2" s="222"/>
      <c r="Q2" s="222"/>
      <c r="R2" s="222" t="s">
        <v>344</v>
      </c>
      <c r="S2" s="222"/>
    </row>
    <row r="3" spans="1:19" x14ac:dyDescent="0.25">
      <c r="A3" t="str">
        <f>'T1-A1'!I9</f>
        <v>Z_n_min_2</v>
      </c>
      <c r="B3" s="222">
        <f>'T1-A1'!J9</f>
        <v>1.2800000000000001E-3</v>
      </c>
      <c r="C3" s="222" t="s">
        <v>11</v>
      </c>
      <c r="D3" s="222"/>
      <c r="E3" s="222"/>
      <c r="G3" s="222" t="str">
        <f>'T1-A1'!B16</f>
        <v>cosϕ_T</v>
      </c>
      <c r="H3" s="222">
        <f>'T1-A1'!D16</f>
        <v>0.19047619047619047</v>
      </c>
      <c r="I3" s="222" t="str">
        <f>'T1-A1'!E16</f>
        <v xml:space="preserve"> =&gt;</v>
      </c>
      <c r="J3" s="222">
        <f>'T1-A1'!F16</f>
        <v>79.019424572387848</v>
      </c>
      <c r="K3" s="222" t="str">
        <f>'T1-A1'!G16</f>
        <v>°</v>
      </c>
      <c r="M3" s="222" t="s">
        <v>345</v>
      </c>
      <c r="N3" s="222" t="s">
        <v>346</v>
      </c>
      <c r="O3" s="222" t="s">
        <v>76</v>
      </c>
      <c r="P3" s="222"/>
      <c r="Q3" s="222" t="s">
        <v>345</v>
      </c>
      <c r="R3" s="222" t="s">
        <v>347</v>
      </c>
      <c r="S3" s="222" t="s">
        <v>76</v>
      </c>
    </row>
    <row r="4" spans="1:19" x14ac:dyDescent="0.25">
      <c r="A4" s="222" t="str">
        <f>'T1-A1'!I5</f>
        <v>R/X</v>
      </c>
      <c r="B4" s="222">
        <f>'T1-A1'!J5</f>
        <v>0.35</v>
      </c>
      <c r="C4" s="222" t="str">
        <f>'T1-A1'!K5</f>
        <v xml:space="preserve"> =&gt;</v>
      </c>
      <c r="D4" s="222">
        <f>'T1-A1'!L5</f>
        <v>69.512684885277338</v>
      </c>
      <c r="E4" s="222" t="str">
        <f>'T1-A1'!M5</f>
        <v>°</v>
      </c>
      <c r="G4" s="222" t="str">
        <f>'T1-A1'!B18</f>
        <v>R_T</v>
      </c>
      <c r="H4" s="222">
        <f>'T1-A1'!D18</f>
        <v>2.418745275888133E-3</v>
      </c>
      <c r="I4" s="222" t="s">
        <v>11</v>
      </c>
      <c r="K4" s="222"/>
      <c r="M4" s="222" t="s">
        <v>357</v>
      </c>
      <c r="N4" s="222">
        <v>6</v>
      </c>
      <c r="O4" s="222"/>
      <c r="P4" s="222"/>
      <c r="Q4" s="222" t="s">
        <v>348</v>
      </c>
      <c r="R4" s="222">
        <v>0.04</v>
      </c>
      <c r="S4" s="222" t="s">
        <v>301</v>
      </c>
    </row>
    <row r="5" spans="1:19" x14ac:dyDescent="0.25">
      <c r="B5" s="222"/>
      <c r="C5" s="222"/>
      <c r="D5" s="222"/>
      <c r="E5" s="222"/>
      <c r="G5" s="222" t="str">
        <f>'T1-A1'!B19</f>
        <v>X_T</v>
      </c>
      <c r="H5" s="222">
        <f>'T1-A1'!D19</f>
        <v>1.2465927817438126E-2</v>
      </c>
      <c r="I5" s="222" t="s">
        <v>11</v>
      </c>
      <c r="K5" s="222"/>
      <c r="M5" s="222" t="s">
        <v>348</v>
      </c>
      <c r="N5" s="222">
        <v>1.4999999999999999E-2</v>
      </c>
      <c r="O5" s="222" t="s">
        <v>301</v>
      </c>
      <c r="P5" s="222"/>
      <c r="Q5" s="222" t="s">
        <v>349</v>
      </c>
      <c r="R5" s="222">
        <v>0.26900000000000002</v>
      </c>
      <c r="S5" s="222" t="s">
        <v>351</v>
      </c>
    </row>
    <row r="6" spans="1:19" x14ac:dyDescent="0.25">
      <c r="A6" t="s">
        <v>354</v>
      </c>
      <c r="B6" s="222">
        <f>B3*B4</f>
        <v>4.4799999999999999E-4</v>
      </c>
      <c r="C6" s="222" t="s">
        <v>11</v>
      </c>
      <c r="D6" s="222"/>
      <c r="E6" s="222"/>
      <c r="G6" s="222" t="str">
        <f>'T1-A1'!B20</f>
        <v>Z_T</v>
      </c>
      <c r="H6" s="222">
        <f>'T1-A1'!D20</f>
        <v>1.2698412698412698E-2</v>
      </c>
      <c r="I6" s="222" t="s">
        <v>11</v>
      </c>
      <c r="K6" s="222"/>
      <c r="M6" s="222" t="s">
        <v>349</v>
      </c>
      <c r="N6" s="222">
        <v>0.155</v>
      </c>
      <c r="O6" s="222" t="s">
        <v>351</v>
      </c>
      <c r="P6" s="222"/>
      <c r="Q6" s="222" t="s">
        <v>255</v>
      </c>
      <c r="R6" s="222">
        <v>7.9000000000000001E-2</v>
      </c>
      <c r="S6" s="222" t="s">
        <v>351</v>
      </c>
    </row>
    <row r="7" spans="1:19" x14ac:dyDescent="0.25">
      <c r="A7" t="s">
        <v>350</v>
      </c>
      <c r="B7" s="222">
        <f>B3*SIN(RADIANS(D4))</f>
        <v>1.1990396156924925E-3</v>
      </c>
      <c r="C7" s="222" t="s">
        <v>11</v>
      </c>
      <c r="D7" s="222"/>
      <c r="E7" s="222"/>
      <c r="H7" s="222"/>
      <c r="K7" s="222"/>
      <c r="M7" s="222" t="s">
        <v>255</v>
      </c>
      <c r="N7" s="222">
        <v>7.6999999999999999E-2</v>
      </c>
      <c r="O7" s="222" t="s">
        <v>351</v>
      </c>
      <c r="P7" s="222"/>
      <c r="Q7" s="222" t="s">
        <v>86</v>
      </c>
      <c r="R7" s="222">
        <f>R5*R4</f>
        <v>1.076E-2</v>
      </c>
      <c r="S7" s="222" t="s">
        <v>11</v>
      </c>
    </row>
    <row r="8" spans="1:19" x14ac:dyDescent="0.25">
      <c r="B8" s="222"/>
      <c r="C8" s="222"/>
      <c r="D8" s="222"/>
      <c r="E8" s="222"/>
      <c r="H8" s="222"/>
      <c r="K8" s="222"/>
      <c r="M8" s="222" t="s">
        <v>86</v>
      </c>
      <c r="N8" s="222">
        <f>N6*N5</f>
        <v>2.3249999999999998E-3</v>
      </c>
      <c r="O8" s="222" t="s">
        <v>11</v>
      </c>
      <c r="P8" s="222"/>
      <c r="Q8" s="222" t="s">
        <v>87</v>
      </c>
      <c r="R8" s="222">
        <f>R6*R4</f>
        <v>3.16E-3</v>
      </c>
      <c r="S8" s="222" t="s">
        <v>11</v>
      </c>
    </row>
    <row r="9" spans="1:19" x14ac:dyDescent="0.25">
      <c r="M9" s="222" t="s">
        <v>87</v>
      </c>
      <c r="N9" s="222">
        <f>N7*N5</f>
        <v>1.155E-3</v>
      </c>
      <c r="O9" s="222" t="s">
        <v>11</v>
      </c>
      <c r="Q9" s="305"/>
      <c r="R9" s="305"/>
      <c r="S9" s="305"/>
    </row>
    <row r="10" spans="1:19" x14ac:dyDescent="0.25">
      <c r="M10" s="305"/>
      <c r="N10" s="305"/>
      <c r="O10" s="305"/>
      <c r="P10" s="222"/>
      <c r="Q10" s="222"/>
      <c r="R10" s="222"/>
      <c r="S10" s="222"/>
    </row>
    <row r="11" spans="1:19" x14ac:dyDescent="0.25">
      <c r="A11" s="221" t="s">
        <v>352</v>
      </c>
      <c r="B11">
        <f>B6+H4+N8/N4+R7</f>
        <v>1.4014245275888133E-2</v>
      </c>
      <c r="C11" s="222" t="s">
        <v>11</v>
      </c>
      <c r="M11" s="222"/>
      <c r="N11" s="222"/>
      <c r="O11" s="222"/>
      <c r="P11" s="222"/>
      <c r="Q11" s="222"/>
      <c r="R11" s="222"/>
      <c r="S11" s="222"/>
    </row>
    <row r="12" spans="1:19" x14ac:dyDescent="0.25">
      <c r="A12" t="s">
        <v>353</v>
      </c>
      <c r="B12">
        <f>B7+H6+N9/N4+R8</f>
        <v>1.7249952314105192E-2</v>
      </c>
      <c r="C12" s="222" t="s">
        <v>11</v>
      </c>
      <c r="M12" s="222"/>
      <c r="N12" s="222"/>
      <c r="O12" s="222"/>
      <c r="P12" s="222"/>
      <c r="Q12" s="222"/>
      <c r="R12" s="222"/>
      <c r="S12" s="222"/>
    </row>
    <row r="13" spans="1:19" x14ac:dyDescent="0.25">
      <c r="M13" s="222"/>
      <c r="N13" s="222"/>
      <c r="O13" s="222"/>
      <c r="P13" s="222"/>
      <c r="Q13" s="222"/>
      <c r="R13" s="222"/>
      <c r="S13" s="222"/>
    </row>
    <row r="14" spans="1:19" x14ac:dyDescent="0.25">
      <c r="A14" s="221" t="s">
        <v>355</v>
      </c>
      <c r="B14">
        <f>SQRT(B11^2+B12^2)</f>
        <v>2.2225209233922995E-2</v>
      </c>
      <c r="C14" s="222" t="s">
        <v>11</v>
      </c>
      <c r="M14" s="222"/>
      <c r="N14" s="222"/>
      <c r="O14" s="222"/>
      <c r="P14" s="222"/>
      <c r="Q14" s="222"/>
      <c r="R14" s="222"/>
      <c r="S14" s="222"/>
    </row>
    <row r="15" spans="1:19" x14ac:dyDescent="0.25">
      <c r="M15" s="222"/>
      <c r="N15" s="222"/>
      <c r="O15" s="222"/>
      <c r="P15" s="222"/>
      <c r="Q15" s="222"/>
      <c r="R15" s="222"/>
      <c r="S15" s="222"/>
    </row>
    <row r="16" spans="1:19" x14ac:dyDescent="0.25">
      <c r="A16" t="s">
        <v>358</v>
      </c>
      <c r="B16">
        <f>C1/(SQRT(3)*B14)</f>
        <v>10390.908146023641</v>
      </c>
      <c r="C16" t="s">
        <v>6</v>
      </c>
      <c r="M16" s="222"/>
      <c r="N16" s="222"/>
      <c r="O16" s="222"/>
    </row>
  </sheetData>
  <mergeCells count="2">
    <mergeCell ref="M10:O10"/>
    <mergeCell ref="Q9:S9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E10" sqref="E10"/>
    </sheetView>
  </sheetViews>
  <sheetFormatPr defaultRowHeight="15" x14ac:dyDescent="0.25"/>
  <cols>
    <col min="1" max="6" width="9.140625" style="222"/>
    <col min="7" max="7" width="12.42578125" style="222" customWidth="1"/>
    <col min="8" max="16384" width="9.140625" style="222"/>
  </cols>
  <sheetData>
    <row r="1" spans="1:19" x14ac:dyDescent="0.25">
      <c r="B1" s="222" t="s">
        <v>356</v>
      </c>
      <c r="C1" s="222">
        <v>400</v>
      </c>
      <c r="D1" s="222" t="s">
        <v>4</v>
      </c>
    </row>
    <row r="2" spans="1:19" x14ac:dyDescent="0.25">
      <c r="B2" s="222" t="s">
        <v>342</v>
      </c>
      <c r="G2" s="222" t="s">
        <v>0</v>
      </c>
      <c r="N2" s="222" t="s">
        <v>343</v>
      </c>
      <c r="R2" s="222" t="s">
        <v>344</v>
      </c>
    </row>
    <row r="3" spans="1:19" x14ac:dyDescent="0.25">
      <c r="A3" s="222" t="str">
        <f>'T1-A1'!I8</f>
        <v>Z_n_max_2</v>
      </c>
      <c r="B3" s="222">
        <f>'T1-A1'!J8</f>
        <v>2E-3</v>
      </c>
      <c r="C3" s="222" t="s">
        <v>11</v>
      </c>
      <c r="G3" s="222" t="str">
        <f>'T1-A1'!B16</f>
        <v>cosϕ_T</v>
      </c>
      <c r="H3" s="222">
        <f>'T1-A1'!D16</f>
        <v>0.19047619047619047</v>
      </c>
      <c r="I3" s="222" t="str">
        <f>'T1-A1'!E16</f>
        <v xml:space="preserve"> =&gt;</v>
      </c>
      <c r="J3" s="222">
        <f>'T1-A1'!F16</f>
        <v>79.019424572387848</v>
      </c>
      <c r="K3" s="222" t="str">
        <f>'T1-A1'!G16</f>
        <v>°</v>
      </c>
      <c r="M3" s="222" t="s">
        <v>345</v>
      </c>
      <c r="N3" s="222" t="s">
        <v>346</v>
      </c>
      <c r="O3" s="222" t="s">
        <v>76</v>
      </c>
      <c r="Q3" s="222" t="s">
        <v>345</v>
      </c>
      <c r="R3" s="222" t="s">
        <v>359</v>
      </c>
      <c r="S3" s="222" t="s">
        <v>76</v>
      </c>
    </row>
    <row r="4" spans="1:19" x14ac:dyDescent="0.25">
      <c r="A4" s="222" t="str">
        <f>'T1-A1'!I7</f>
        <v>R/X</v>
      </c>
      <c r="B4" s="222">
        <f>'T1-A1'!J7</f>
        <v>0.42</v>
      </c>
      <c r="C4" s="222" t="str">
        <f>'T1-A1'!K7</f>
        <v xml:space="preserve"> =&gt;</v>
      </c>
      <c r="D4" s="222">
        <f>'T1-A1'!L7</f>
        <v>65.16541251029841</v>
      </c>
      <c r="E4" s="222" t="str">
        <f>'T1-A1'!M7</f>
        <v>°</v>
      </c>
      <c r="G4" s="222" t="str">
        <f>'T1-A1'!B18</f>
        <v>R_T</v>
      </c>
      <c r="H4" s="222">
        <f>'T1-A1'!D18</f>
        <v>2.418745275888133E-3</v>
      </c>
      <c r="I4" s="222" t="s">
        <v>11</v>
      </c>
      <c r="M4" s="222" t="s">
        <v>357</v>
      </c>
      <c r="N4" s="222">
        <v>6</v>
      </c>
      <c r="Q4" s="222" t="s">
        <v>348</v>
      </c>
      <c r="R4" s="222">
        <f>25/1000</f>
        <v>2.5000000000000001E-2</v>
      </c>
      <c r="S4" s="222" t="s">
        <v>301</v>
      </c>
    </row>
    <row r="5" spans="1:19" x14ac:dyDescent="0.25">
      <c r="G5" s="222" t="str">
        <f>'T1-A1'!B19</f>
        <v>X_T</v>
      </c>
      <c r="H5" s="222">
        <f>'T1-A1'!D19</f>
        <v>1.2465927817438126E-2</v>
      </c>
      <c r="I5" s="222" t="s">
        <v>11</v>
      </c>
      <c r="M5" s="222" t="s">
        <v>348</v>
      </c>
      <c r="N5" s="222">
        <v>1.4999999999999999E-2</v>
      </c>
      <c r="O5" s="222" t="s">
        <v>301</v>
      </c>
      <c r="Q5" s="222" t="s">
        <v>349</v>
      </c>
      <c r="R5" s="222">
        <v>0.127</v>
      </c>
      <c r="S5" s="222" t="s">
        <v>351</v>
      </c>
    </row>
    <row r="6" spans="1:19" x14ac:dyDescent="0.25">
      <c r="A6" s="222" t="s">
        <v>354</v>
      </c>
      <c r="B6" s="222">
        <f>B3*B4</f>
        <v>8.4000000000000003E-4</v>
      </c>
      <c r="C6" s="222" t="s">
        <v>11</v>
      </c>
      <c r="G6" s="222" t="str">
        <f>'T1-A1'!B20</f>
        <v>Z_T</v>
      </c>
      <c r="H6" s="222">
        <f>'T1-A1'!D20</f>
        <v>1.2698412698412698E-2</v>
      </c>
      <c r="I6" s="222" t="s">
        <v>11</v>
      </c>
      <c r="M6" s="222" t="s">
        <v>349</v>
      </c>
      <c r="N6" s="222">
        <v>0.155</v>
      </c>
      <c r="O6" s="222" t="s">
        <v>351</v>
      </c>
      <c r="Q6" s="222" t="s">
        <v>255</v>
      </c>
      <c r="R6" s="222">
        <v>7.6999999999999999E-2</v>
      </c>
      <c r="S6" s="222" t="s">
        <v>351</v>
      </c>
    </row>
    <row r="7" spans="1:19" x14ac:dyDescent="0.25">
      <c r="A7" s="222" t="s">
        <v>350</v>
      </c>
      <c r="B7" s="222">
        <f>B3*SIN(RADIANS(D4))</f>
        <v>1.8150482087261484E-3</v>
      </c>
      <c r="C7" s="222" t="s">
        <v>11</v>
      </c>
      <c r="M7" s="222" t="s">
        <v>255</v>
      </c>
      <c r="N7" s="222">
        <v>7.6999999999999999E-2</v>
      </c>
      <c r="O7" s="222" t="s">
        <v>351</v>
      </c>
      <c r="Q7" s="222" t="s">
        <v>86</v>
      </c>
      <c r="R7" s="222">
        <f>R5*R4</f>
        <v>3.1750000000000003E-3</v>
      </c>
      <c r="S7" s="222" t="s">
        <v>11</v>
      </c>
    </row>
    <row r="8" spans="1:19" x14ac:dyDescent="0.25">
      <c r="M8" s="222" t="s">
        <v>86</v>
      </c>
      <c r="N8" s="222">
        <f>N6*N5</f>
        <v>2.3249999999999998E-3</v>
      </c>
      <c r="O8" s="222" t="s">
        <v>11</v>
      </c>
      <c r="Q8" s="222" t="s">
        <v>87</v>
      </c>
      <c r="R8" s="222">
        <f>R6*R4</f>
        <v>1.9250000000000001E-3</v>
      </c>
      <c r="S8" s="222" t="s">
        <v>11</v>
      </c>
    </row>
    <row r="9" spans="1:19" x14ac:dyDescent="0.25">
      <c r="M9" s="222" t="s">
        <v>87</v>
      </c>
      <c r="N9" s="222">
        <f>N7*N5</f>
        <v>1.155E-3</v>
      </c>
      <c r="O9" s="222" t="s">
        <v>11</v>
      </c>
      <c r="Q9" s="305"/>
      <c r="R9" s="305"/>
      <c r="S9" s="305"/>
    </row>
    <row r="10" spans="1:19" x14ac:dyDescent="0.25">
      <c r="M10" s="305"/>
      <c r="N10" s="305"/>
      <c r="O10" s="305"/>
    </row>
    <row r="11" spans="1:19" x14ac:dyDescent="0.25">
      <c r="A11" s="221" t="s">
        <v>352</v>
      </c>
      <c r="B11" s="222">
        <f>B6+H4+N8/N4+R7+R14</f>
        <v>6.8212452758881336E-3</v>
      </c>
      <c r="C11" s="222" t="s">
        <v>11</v>
      </c>
    </row>
    <row r="12" spans="1:19" x14ac:dyDescent="0.25">
      <c r="A12" s="222" t="s">
        <v>353</v>
      </c>
      <c r="B12" s="222">
        <f>B7+H6+N9/N4+R8+R15</f>
        <v>1.6630960907138847E-2</v>
      </c>
      <c r="C12" s="222" t="s">
        <v>11</v>
      </c>
    </row>
    <row r="14" spans="1:19" x14ac:dyDescent="0.25">
      <c r="A14" s="221" t="s">
        <v>355</v>
      </c>
      <c r="B14" s="222">
        <f>SQRT(B11^2+B12^2)</f>
        <v>1.7975490196615134E-2</v>
      </c>
      <c r="C14" s="222" t="s">
        <v>11</v>
      </c>
    </row>
    <row r="16" spans="1:19" x14ac:dyDescent="0.25">
      <c r="A16" s="222" t="s">
        <v>358</v>
      </c>
      <c r="B16" s="222">
        <f>C1/(SQRT(3)*B14)</f>
        <v>12847.499853958774</v>
      </c>
      <c r="C16" s="222" t="s">
        <v>6</v>
      </c>
    </row>
  </sheetData>
  <mergeCells count="2">
    <mergeCell ref="Q9:S9"/>
    <mergeCell ref="M10:O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workbookViewId="0">
      <selection activeCell="F30" sqref="F30"/>
    </sheetView>
  </sheetViews>
  <sheetFormatPr defaultRowHeight="15" x14ac:dyDescent="0.25"/>
  <sheetData>
    <row r="2" spans="2:10" x14ac:dyDescent="0.25">
      <c r="C2">
        <v>185</v>
      </c>
      <c r="D2">
        <v>240</v>
      </c>
      <c r="E2" t="s">
        <v>88</v>
      </c>
      <c r="F2" t="s">
        <v>0</v>
      </c>
    </row>
    <row r="3" spans="2:10" x14ac:dyDescent="0.25">
      <c r="B3" t="s">
        <v>86</v>
      </c>
      <c r="C3">
        <v>0.1019</v>
      </c>
      <c r="D3">
        <v>0.127</v>
      </c>
    </row>
    <row r="4" spans="2:10" x14ac:dyDescent="0.25">
      <c r="C4">
        <f>C3*70/1000</f>
        <v>7.1329999999999996E-3</v>
      </c>
      <c r="D4">
        <f>D3*40/1000</f>
        <v>5.0800000000000003E-3</v>
      </c>
      <c r="E4">
        <f>'T1-A1'!J8*'T1-A1'!J7</f>
        <v>8.4000000000000003E-4</v>
      </c>
      <c r="F4">
        <f>'T1-A1'!D20*'T1-A1'!D16</f>
        <v>2.418745275888133E-3</v>
      </c>
    </row>
    <row r="5" spans="2:10" x14ac:dyDescent="0.25">
      <c r="B5" t="s">
        <v>87</v>
      </c>
      <c r="C5">
        <v>7.9000000000000001E-2</v>
      </c>
      <c r="D5">
        <v>7.6999999999999999E-2</v>
      </c>
    </row>
    <row r="6" spans="2:10" x14ac:dyDescent="0.25">
      <c r="C6">
        <f>C5*70/1000</f>
        <v>5.5300000000000002E-3</v>
      </c>
      <c r="D6">
        <f>D5*40/1000</f>
        <v>3.0800000000000003E-3</v>
      </c>
      <c r="E6">
        <f>'T1-A1'!J8*SIN(RADIANS('T1-A1'!L7))</f>
        <v>1.8150482087261484E-3</v>
      </c>
      <c r="F6">
        <f>'T1-A1'!D20*SIN(RADIANS('T1-A1'!F16))</f>
        <v>1.2465927817438126E-2</v>
      </c>
    </row>
    <row r="8" spans="2:10" x14ac:dyDescent="0.25">
      <c r="B8" t="s">
        <v>91</v>
      </c>
      <c r="E8" t="s">
        <v>92</v>
      </c>
    </row>
    <row r="9" spans="2:10" x14ac:dyDescent="0.25">
      <c r="D9" t="s">
        <v>90</v>
      </c>
      <c r="F9" t="s">
        <v>93</v>
      </c>
    </row>
    <row r="10" spans="2:10" x14ac:dyDescent="0.25">
      <c r="B10" t="s">
        <v>89</v>
      </c>
      <c r="C10">
        <f>200*10^3/(SQRT(3)*400)</f>
        <v>288.6751345948129</v>
      </c>
      <c r="D10">
        <v>0.7</v>
      </c>
      <c r="F10">
        <f>SIN(RADIANS(DEGREES(ACOS(D10))))</f>
        <v>0.71414284285428498</v>
      </c>
    </row>
    <row r="11" spans="2:10" x14ac:dyDescent="0.25">
      <c r="B11" t="s">
        <v>94</v>
      </c>
      <c r="C11">
        <f>50*10^3/(SQRT(3)*400)</f>
        <v>72.168783648703226</v>
      </c>
      <c r="D11">
        <v>0.8</v>
      </c>
      <c r="F11">
        <f>SIN(RADIANS(DEGREES(ACOS(D11))))</f>
        <v>0.59999999999999987</v>
      </c>
    </row>
    <row r="12" spans="2:10" x14ac:dyDescent="0.25">
      <c r="B12" t="s">
        <v>95</v>
      </c>
      <c r="C12">
        <f>10*10^3/(SQRT(3)*400)</f>
        <v>14.433756729740644</v>
      </c>
      <c r="D12">
        <v>0.6</v>
      </c>
      <c r="F12">
        <f>SIN(RADIANS(DEGREES(ACOS(D12))))</f>
        <v>0.79999999999999993</v>
      </c>
    </row>
    <row r="13" spans="2:10" x14ac:dyDescent="0.25">
      <c r="B13" t="s">
        <v>102</v>
      </c>
      <c r="C13">
        <v>95</v>
      </c>
    </row>
    <row r="14" spans="2:10" x14ac:dyDescent="0.25">
      <c r="B14" t="s">
        <v>96</v>
      </c>
      <c r="C14">
        <v>10</v>
      </c>
      <c r="D14">
        <v>0.8</v>
      </c>
      <c r="F14">
        <f>SIN(RADIANS(DEGREES(ACOS(D14))))</f>
        <v>0.59999999999999987</v>
      </c>
    </row>
    <row r="15" spans="2:10" x14ac:dyDescent="0.25">
      <c r="B15" t="s">
        <v>97</v>
      </c>
      <c r="C15">
        <f>60*10^3/(SQRT(3)*400)</f>
        <v>86.602540378443862</v>
      </c>
      <c r="D15">
        <v>0.9</v>
      </c>
      <c r="F15">
        <f>SIN(RADIANS(DEGREES(ACOS(D15))))</f>
        <v>0.43588989435406728</v>
      </c>
    </row>
    <row r="16" spans="2:10" x14ac:dyDescent="0.25">
      <c r="I16" t="s">
        <v>86</v>
      </c>
      <c r="J16" t="s">
        <v>87</v>
      </c>
    </row>
    <row r="17" spans="2:10" x14ac:dyDescent="0.25">
      <c r="B17" t="s">
        <v>98</v>
      </c>
      <c r="C17">
        <f>(C10*D10+C11*D11+C12*D12+C14*D14+C15*D15)*F4+(C10*F10+C11*F11+C12*F12+C14*F14+C15*F15)*F6</f>
        <v>4.6562534261465869</v>
      </c>
      <c r="D17" t="s">
        <v>4</v>
      </c>
      <c r="E17" t="s">
        <v>99</v>
      </c>
      <c r="I17">
        <f>3*C4+D4</f>
        <v>2.6478999999999999E-2</v>
      </c>
      <c r="J17">
        <f>3*C6+D6</f>
        <v>1.967E-2</v>
      </c>
    </row>
    <row r="19" spans="2:10" x14ac:dyDescent="0.25">
      <c r="B19" t="s">
        <v>100</v>
      </c>
      <c r="C19">
        <f>(C12*D12+C14*D14+C15*D15)*I17+(C12*F12+C14*F14+C15*F15)*J17</f>
        <v>3.5926564792888915</v>
      </c>
      <c r="D19" t="s">
        <v>4</v>
      </c>
    </row>
    <row r="20" spans="2:10" x14ac:dyDescent="0.25">
      <c r="B20" t="s">
        <v>101</v>
      </c>
      <c r="C20">
        <f>C19+C17</f>
        <v>8.2489099054354789</v>
      </c>
      <c r="D20" t="s">
        <v>4</v>
      </c>
    </row>
    <row r="22" spans="2:10" x14ac:dyDescent="0.25">
      <c r="B22" t="s">
        <v>12</v>
      </c>
      <c r="C22">
        <f>C13*6</f>
        <v>570</v>
      </c>
      <c r="D22" t="s">
        <v>6</v>
      </c>
    </row>
    <row r="23" spans="2:10" x14ac:dyDescent="0.25">
      <c r="B23" t="s">
        <v>104</v>
      </c>
      <c r="C23">
        <v>0.3</v>
      </c>
      <c r="D23">
        <f>SIN(RADIANS(DEGREES(ACOS(C23))))</f>
        <v>0.95393920141694566</v>
      </c>
    </row>
    <row r="24" spans="2:10" x14ac:dyDescent="0.25">
      <c r="B24" t="s">
        <v>103</v>
      </c>
      <c r="C24">
        <f>C22*(I17+F4)*C23+C22*(F6+J17)*D23</f>
        <v>22.415275593983807</v>
      </c>
      <c r="D24" t="s">
        <v>4</v>
      </c>
    </row>
    <row r="26" spans="2:10" x14ac:dyDescent="0.25">
      <c r="B26" t="s">
        <v>105</v>
      </c>
      <c r="C26">
        <f>C20+C24</f>
        <v>30.664185499419286</v>
      </c>
      <c r="D26" t="s">
        <v>4</v>
      </c>
    </row>
    <row r="28" spans="2:10" x14ac:dyDescent="0.25">
      <c r="B28" t="s">
        <v>106</v>
      </c>
      <c r="C28">
        <f>'T1-A1'!D4/(SQRT(3)*'T1-A1'!D17)-C26</f>
        <v>200.27592217643101</v>
      </c>
      <c r="D28" t="s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9"/>
  <sheetViews>
    <sheetView workbookViewId="0">
      <selection activeCell="B15" sqref="B15"/>
    </sheetView>
  </sheetViews>
  <sheetFormatPr defaultRowHeight="15" x14ac:dyDescent="0.25"/>
  <cols>
    <col min="2" max="2" width="15.5703125" customWidth="1"/>
    <col min="6" max="6" width="15" customWidth="1"/>
    <col min="7" max="7" width="13.85546875" customWidth="1"/>
  </cols>
  <sheetData>
    <row r="2" spans="2:23" x14ac:dyDescent="0.25">
      <c r="B2" t="s">
        <v>32</v>
      </c>
      <c r="H2" s="3">
        <f>'T1-A1'!L75</f>
        <v>70</v>
      </c>
      <c r="I2" s="3">
        <f>'T1-A1'!L76</f>
        <v>149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2:23" x14ac:dyDescent="0.25">
      <c r="B3" s="1"/>
      <c r="C3" s="1"/>
      <c r="D3" s="1" t="s">
        <v>27</v>
      </c>
      <c r="E3" s="1" t="s">
        <v>28</v>
      </c>
      <c r="F3" s="1" t="s">
        <v>29</v>
      </c>
      <c r="H3" s="46">
        <f>'T1-A1'!L78</f>
        <v>95</v>
      </c>
      <c r="I3" s="46">
        <f>'T1-A1'!L79</f>
        <v>179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2:23" x14ac:dyDescent="0.25">
      <c r="B4" s="1" t="s">
        <v>23</v>
      </c>
      <c r="C4" s="1">
        <f>'T1-A1'!$J$8</f>
        <v>2E-3</v>
      </c>
      <c r="D4" s="1">
        <f>'T1-A1'!$L$5</f>
        <v>69.512684885277338</v>
      </c>
      <c r="E4" s="1">
        <f>C4*COS(D4*PI()/180)</f>
        <v>7.000000000000001E-4</v>
      </c>
      <c r="F4" s="1">
        <f>C4*SIN(D4*PI()/180)</f>
        <v>1.8734993995195195E-3</v>
      </c>
      <c r="H4" s="46">
        <f>'T1-A1'!L81</f>
        <v>120</v>
      </c>
      <c r="I4" s="153">
        <f>'T1-A1'!L82</f>
        <v>206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2:23" ht="15.75" thickBot="1" x14ac:dyDescent="0.3">
      <c r="B5" s="3" t="s">
        <v>24</v>
      </c>
      <c r="C5" s="3">
        <f>'T1-A1'!$D$20</f>
        <v>1.2698412698412698E-2</v>
      </c>
      <c r="D5" s="3">
        <f>'T1-A1'!$F$16</f>
        <v>79.019424572387848</v>
      </c>
      <c r="E5" s="3">
        <f>C5*COS(D5*PI()/180)</f>
        <v>2.418745275888133E-3</v>
      </c>
      <c r="F5" s="3">
        <f>C5*SIN(D5*PI()/180)</f>
        <v>1.2465927817438126E-2</v>
      </c>
      <c r="H5" s="1">
        <f>LARGE(H2:H4,1)</f>
        <v>120</v>
      </c>
      <c r="I5" s="1">
        <f>LARGE(I2:I4,1)</f>
        <v>206</v>
      </c>
      <c r="L5" s="21"/>
      <c r="M5" s="21"/>
      <c r="N5" s="21"/>
      <c r="O5" s="21"/>
      <c r="P5" s="21"/>
      <c r="Q5" s="21"/>
      <c r="R5" s="21"/>
      <c r="S5" s="21"/>
      <c r="T5" s="205"/>
      <c r="U5" s="205"/>
      <c r="V5" s="21"/>
      <c r="W5" s="21"/>
    </row>
    <row r="6" spans="2:23" ht="15.75" thickBot="1" x14ac:dyDescent="0.3">
      <c r="B6" s="4" t="s">
        <v>26</v>
      </c>
      <c r="C6" s="5">
        <f>SQRT(E6^2+F6^2)</f>
        <v>1.467466336943714E-2</v>
      </c>
      <c r="D6" s="5">
        <f>DEGREES(ATAN2(E6,F6))</f>
        <v>77.729585407041853</v>
      </c>
      <c r="E6" s="5">
        <f>E4+E5</f>
        <v>3.1187452758881331E-3</v>
      </c>
      <c r="F6" s="6">
        <f>F5+F4</f>
        <v>1.4339427216957645E-2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2:23" x14ac:dyDescent="0.25"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2:23" x14ac:dyDescent="0.25">
      <c r="B8" t="s">
        <v>33</v>
      </c>
      <c r="L8" s="205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2:23" x14ac:dyDescent="0.25">
      <c r="B9" s="1"/>
      <c r="C9" s="1"/>
      <c r="D9" s="1" t="s">
        <v>27</v>
      </c>
      <c r="E9" s="1" t="s">
        <v>28</v>
      </c>
      <c r="F9" s="1" t="s">
        <v>29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2:23" x14ac:dyDescent="0.25">
      <c r="B10" s="1" t="s">
        <v>23</v>
      </c>
      <c r="C10" s="1">
        <f>'T1-A1'!$J$9</f>
        <v>1.2800000000000001E-3</v>
      </c>
      <c r="D10" s="1">
        <f>'T1-A1'!$L$7</f>
        <v>65.16541251029841</v>
      </c>
      <c r="E10" s="1">
        <f>C10*COS(D10*PI()/180)</f>
        <v>5.3760000000000038E-4</v>
      </c>
      <c r="F10" s="1">
        <f>C10*SIN(D10*PI()/180)</f>
        <v>1.1616308535847349E-3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2:23" x14ac:dyDescent="0.25">
      <c r="B11" s="1" t="s">
        <v>24</v>
      </c>
      <c r="C11" s="3">
        <f>'T1-A1'!$D$20</f>
        <v>1.2698412698412698E-2</v>
      </c>
      <c r="D11" s="3">
        <f>'T1-A1'!$F$16</f>
        <v>79.019424572387848</v>
      </c>
      <c r="E11" s="1">
        <f>C11*COS(D11*PI()/180)</f>
        <v>2.418745275888133E-3</v>
      </c>
      <c r="F11" s="1">
        <f>C11*SIN(D11*PI()/180)</f>
        <v>1.2465927817438126E-2</v>
      </c>
      <c r="L11" s="21"/>
      <c r="M11" s="21"/>
      <c r="N11" s="21"/>
      <c r="O11" s="21"/>
      <c r="P11" s="21"/>
      <c r="Q11" s="21"/>
      <c r="R11" s="21"/>
      <c r="S11" s="21"/>
      <c r="T11" s="205"/>
      <c r="U11" s="205"/>
      <c r="V11" s="21"/>
      <c r="W11" s="21"/>
    </row>
    <row r="12" spans="2:23" x14ac:dyDescent="0.25">
      <c r="B12" s="1" t="s">
        <v>26</v>
      </c>
      <c r="C12" s="1">
        <f>SQRT(E12^2+F12^2)</f>
        <v>1.3944544909118993E-2</v>
      </c>
      <c r="D12" s="1">
        <f>DEGREES(ATAN2(E12,F12))</f>
        <v>77.759989024284579</v>
      </c>
      <c r="E12" s="1">
        <f>E10+E11</f>
        <v>2.9563452758881335E-3</v>
      </c>
      <c r="F12" s="1">
        <f>F11+F10</f>
        <v>1.362755867102286E-2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5" spans="2:23" x14ac:dyDescent="0.25">
      <c r="B15">
        <f>'T1-A1'!M29/'T1-A1'!M32</f>
        <v>0.90932667397366063</v>
      </c>
      <c r="C15" t="e">
        <f>'T1-A1'!#REF!/'T1-A1'!#REF!</f>
        <v>#REF!</v>
      </c>
    </row>
    <row r="16" spans="2:23" x14ac:dyDescent="0.25">
      <c r="B16">
        <f>(100-'T1-A1'!M38)/100</f>
        <v>0.8</v>
      </c>
    </row>
    <row r="17" spans="2:2" x14ac:dyDescent="0.25">
      <c r="B17">
        <f>(100-'T1-A1'!M37)/100</f>
        <v>0.9</v>
      </c>
    </row>
    <row r="18" spans="2:2" x14ac:dyDescent="0.25">
      <c r="B18" s="118">
        <f>(100+'T1-A1'!L50)/100</f>
        <v>1.2</v>
      </c>
    </row>
    <row r="19" spans="2:2" x14ac:dyDescent="0.25">
      <c r="B19">
        <f>(100+'T1-A1'!L55)/100</f>
        <v>1.2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61"/>
  <sheetViews>
    <sheetView workbookViewId="0">
      <selection activeCell="A5" sqref="A5"/>
    </sheetView>
  </sheetViews>
  <sheetFormatPr defaultRowHeight="15" x14ac:dyDescent="0.25"/>
  <cols>
    <col min="22" max="22" width="10.140625" customWidth="1"/>
  </cols>
  <sheetData>
    <row r="1" spans="1:36" x14ac:dyDescent="0.25">
      <c r="A1" s="289" t="s">
        <v>53</v>
      </c>
      <c r="B1" s="290"/>
      <c r="D1" s="42" t="s">
        <v>107</v>
      </c>
      <c r="E1" s="323" t="s">
        <v>108</v>
      </c>
      <c r="F1" s="324"/>
      <c r="G1" s="325" t="s">
        <v>109</v>
      </c>
      <c r="H1" s="325"/>
      <c r="I1" s="43" t="s">
        <v>110</v>
      </c>
      <c r="K1" s="3" t="s">
        <v>111</v>
      </c>
    </row>
    <row r="2" spans="1:36" ht="15.75" thickBot="1" x14ac:dyDescent="0.3">
      <c r="A2" s="15">
        <v>40</v>
      </c>
      <c r="B2" s="16" t="s">
        <v>54</v>
      </c>
      <c r="D2" s="44"/>
      <c r="E2" s="308" t="s">
        <v>112</v>
      </c>
      <c r="F2" s="309"/>
      <c r="G2" s="310" t="s">
        <v>112</v>
      </c>
      <c r="H2" s="311"/>
      <c r="I2" s="45" t="s">
        <v>113</v>
      </c>
      <c r="K2" s="46" t="s">
        <v>114</v>
      </c>
      <c r="N2" t="s">
        <v>144</v>
      </c>
      <c r="O2" t="s">
        <v>144</v>
      </c>
      <c r="S2" s="96"/>
      <c r="T2" s="98" t="s">
        <v>142</v>
      </c>
      <c r="U2" s="98"/>
      <c r="V2" s="98">
        <f>IF(AND('T1-A1'!D4&gt;0),SMALL(S4:S8,COUNTIF(S4:S8,"&lt;"&amp;'T1-A1'!D4)+1),"")</f>
        <v>12000</v>
      </c>
      <c r="W2" s="98">
        <f>'T1-A1'!D8</f>
        <v>630</v>
      </c>
      <c r="X2" s="98">
        <f>IF(W2=T3,VLOOKUP(V2,S4:T8,2,FALSE),IF(W2=U3,VLOOKUP(V2,S4:U8,3,FALSE),IF(W2=V3,VLOOKUP(V2,S4:V8,4,FALSE),IF(W2=W3,VLOOKUP(V2,S4:W8,5,FALSE),IF(W2=X3,VLOOKUP(V2,S4:X8,6,FALSE),IF(W2=Y3,VLOOKUP(V2,S4:Y8,7,FALSE),IF(W2=Z3,VLOOKUP(V2,S4:Z8,8,FALSE),IF(W2=AA3,VLOOKUP(V2,S4:AA8,9,FALSE),IF(W2=AB3,VLOOKUP(V2,S4:AB8,10,FALSE),IF(W2=AC3,VLOOKUP(V2,S4:AC8,11,FALSE),IF(W2=AD3,VLOOKUP(V2,S4:AD8,12,FALSE),IF(W2=AE3,VLOOKUP(V2,S4:AE8,13,FALSE),IF(W2=AF3,VLOOKUP(V2,S4:AF8,14,FALSE),IF(W2=AG3,VLOOKUP(V2,S4:AG8,15,FALSE),""))))))))))))))</f>
        <v>80</v>
      </c>
      <c r="Y2" s="98"/>
      <c r="Z2" s="98"/>
      <c r="AA2" s="98"/>
      <c r="AB2" s="98"/>
      <c r="AC2" s="98"/>
      <c r="AD2" s="98"/>
      <c r="AE2" s="98"/>
      <c r="AF2" s="98"/>
      <c r="AG2" s="97"/>
    </row>
    <row r="3" spans="1:36" x14ac:dyDescent="0.25">
      <c r="A3" s="17">
        <v>100</v>
      </c>
      <c r="B3" s="18" t="s">
        <v>55</v>
      </c>
      <c r="D3" s="42" t="s">
        <v>115</v>
      </c>
      <c r="E3" s="326" t="s">
        <v>116</v>
      </c>
      <c r="F3" s="328">
        <v>2</v>
      </c>
      <c r="G3" s="330" t="s">
        <v>117</v>
      </c>
      <c r="H3" s="326" t="s">
        <v>118</v>
      </c>
      <c r="I3" s="312" t="s">
        <v>119</v>
      </c>
      <c r="K3" s="46">
        <v>1</v>
      </c>
      <c r="N3" t="s">
        <v>142</v>
      </c>
      <c r="O3" s="3" t="s">
        <v>133</v>
      </c>
      <c r="Q3" s="96" t="s">
        <v>133</v>
      </c>
      <c r="R3" s="97">
        <v>2</v>
      </c>
      <c r="S3" s="139" t="s">
        <v>143</v>
      </c>
      <c r="T3" s="21">
        <v>100</v>
      </c>
      <c r="U3" s="21">
        <v>125</v>
      </c>
      <c r="V3" s="21">
        <v>160</v>
      </c>
      <c r="W3" s="21">
        <v>200</v>
      </c>
      <c r="X3" s="21">
        <v>250</v>
      </c>
      <c r="Y3" s="21">
        <v>315</v>
      </c>
      <c r="Z3" s="21">
        <v>400</v>
      </c>
      <c r="AA3" s="21">
        <v>500</v>
      </c>
      <c r="AB3" s="21">
        <v>630</v>
      </c>
      <c r="AC3" s="21">
        <v>800</v>
      </c>
      <c r="AD3" s="21">
        <v>1000</v>
      </c>
      <c r="AE3" s="21">
        <v>1250</v>
      </c>
      <c r="AF3" s="21">
        <v>1600</v>
      </c>
      <c r="AG3" s="18">
        <v>2000</v>
      </c>
    </row>
    <row r="4" spans="1:36" x14ac:dyDescent="0.25">
      <c r="A4" s="17">
        <v>160</v>
      </c>
      <c r="B4" s="18" t="s">
        <v>56</v>
      </c>
      <c r="D4" s="47"/>
      <c r="E4" s="327"/>
      <c r="F4" s="329"/>
      <c r="G4" s="331"/>
      <c r="H4" s="327"/>
      <c r="I4" s="313"/>
      <c r="K4" s="46">
        <v>2</v>
      </c>
      <c r="N4" t="s">
        <v>151</v>
      </c>
      <c r="O4" s="46" t="s">
        <v>134</v>
      </c>
      <c r="Q4" s="17"/>
      <c r="R4" s="18">
        <v>4</v>
      </c>
      <c r="S4" s="21">
        <v>7200</v>
      </c>
      <c r="T4" s="21">
        <v>20</v>
      </c>
      <c r="U4" s="21">
        <v>25</v>
      </c>
      <c r="V4" s="21">
        <v>31.5</v>
      </c>
      <c r="W4" s="21">
        <v>40</v>
      </c>
      <c r="X4" s="21">
        <v>50</v>
      </c>
      <c r="Y4" s="21">
        <v>63</v>
      </c>
      <c r="Z4" s="21">
        <v>80</v>
      </c>
      <c r="AA4" s="21">
        <v>100</v>
      </c>
      <c r="AB4" s="21">
        <v>125</v>
      </c>
      <c r="AC4" s="21">
        <v>160</v>
      </c>
      <c r="AD4" s="21">
        <v>200</v>
      </c>
      <c r="AE4" s="21">
        <v>250</v>
      </c>
      <c r="AF4" s="21">
        <v>315</v>
      </c>
      <c r="AG4" s="18">
        <v>400</v>
      </c>
    </row>
    <row r="5" spans="1:36" x14ac:dyDescent="0.25">
      <c r="A5" s="17">
        <v>250</v>
      </c>
      <c r="B5" s="18" t="s">
        <v>57</v>
      </c>
      <c r="D5" s="47"/>
      <c r="E5" s="327"/>
      <c r="F5" s="329"/>
      <c r="G5" s="331"/>
      <c r="H5" s="327"/>
      <c r="I5" s="313"/>
      <c r="K5" s="46">
        <v>3</v>
      </c>
      <c r="O5" s="46" t="s">
        <v>135</v>
      </c>
      <c r="Q5" s="17"/>
      <c r="R5" s="18">
        <v>6</v>
      </c>
      <c r="S5" s="21">
        <v>12000</v>
      </c>
      <c r="T5" s="21">
        <v>16</v>
      </c>
      <c r="U5" s="21">
        <v>16</v>
      </c>
      <c r="V5" s="21">
        <v>20</v>
      </c>
      <c r="W5" s="21">
        <v>25</v>
      </c>
      <c r="X5" s="21">
        <v>31.5</v>
      </c>
      <c r="Y5" s="21">
        <v>40</v>
      </c>
      <c r="Z5" s="21">
        <v>50</v>
      </c>
      <c r="AA5" s="21">
        <v>63</v>
      </c>
      <c r="AB5" s="21">
        <v>80</v>
      </c>
      <c r="AC5" s="21">
        <v>100</v>
      </c>
      <c r="AD5" s="21">
        <v>125</v>
      </c>
      <c r="AE5" s="21">
        <v>160</v>
      </c>
      <c r="AF5" s="21">
        <v>200</v>
      </c>
      <c r="AG5" s="18">
        <v>250</v>
      </c>
    </row>
    <row r="6" spans="1:36" x14ac:dyDescent="0.25">
      <c r="A6" s="17">
        <v>400</v>
      </c>
      <c r="B6" s="18" t="s">
        <v>58</v>
      </c>
      <c r="D6" s="48" t="s">
        <v>120</v>
      </c>
      <c r="E6" s="293"/>
      <c r="F6" s="314"/>
      <c r="G6" s="314"/>
      <c r="H6" s="314"/>
      <c r="I6" s="315"/>
      <c r="K6" s="46">
        <v>4</v>
      </c>
      <c r="O6" s="46" t="s">
        <v>137</v>
      </c>
      <c r="Q6" s="17"/>
      <c r="R6" s="18">
        <v>10</v>
      </c>
      <c r="S6" s="21">
        <v>17500</v>
      </c>
      <c r="T6" s="21">
        <v>10</v>
      </c>
      <c r="U6" s="21">
        <v>10</v>
      </c>
      <c r="V6" s="21">
        <v>16</v>
      </c>
      <c r="W6" s="21">
        <v>20</v>
      </c>
      <c r="X6" s="21">
        <v>25</v>
      </c>
      <c r="Y6" s="21">
        <v>31.5</v>
      </c>
      <c r="Z6" s="21">
        <v>31.5</v>
      </c>
      <c r="AA6" s="21">
        <v>40</v>
      </c>
      <c r="AB6" s="21">
        <v>50</v>
      </c>
      <c r="AC6" s="21">
        <v>80</v>
      </c>
      <c r="AD6" s="21">
        <v>80</v>
      </c>
      <c r="AE6" s="21">
        <v>100</v>
      </c>
      <c r="AF6" s="21">
        <v>125</v>
      </c>
      <c r="AG6" s="18">
        <v>160</v>
      </c>
    </row>
    <row r="7" spans="1:36" x14ac:dyDescent="0.25">
      <c r="A7" s="19">
        <v>630</v>
      </c>
      <c r="B7" s="20" t="s">
        <v>59</v>
      </c>
      <c r="D7" s="49">
        <v>0.19600000000000001</v>
      </c>
      <c r="E7" s="39">
        <v>2</v>
      </c>
      <c r="F7" s="39">
        <v>2</v>
      </c>
      <c r="G7" s="39">
        <v>2.5</v>
      </c>
      <c r="H7" s="39">
        <v>2.5</v>
      </c>
      <c r="I7" s="50">
        <v>2.7</v>
      </c>
      <c r="K7" s="46">
        <v>5</v>
      </c>
      <c r="O7" s="46" t="s">
        <v>138</v>
      </c>
      <c r="Q7" s="17"/>
      <c r="R7" s="18">
        <v>16</v>
      </c>
      <c r="S7" s="21">
        <v>24000</v>
      </c>
      <c r="T7" s="21">
        <v>10</v>
      </c>
      <c r="U7" s="21">
        <v>10</v>
      </c>
      <c r="V7" s="21">
        <v>10</v>
      </c>
      <c r="W7" s="21">
        <v>16</v>
      </c>
      <c r="X7" s="21">
        <v>16</v>
      </c>
      <c r="Y7" s="21">
        <v>25</v>
      </c>
      <c r="Z7" s="21">
        <v>25</v>
      </c>
      <c r="AA7" s="21">
        <v>31.5</v>
      </c>
      <c r="AB7" s="21">
        <v>40</v>
      </c>
      <c r="AC7" s="21">
        <v>63</v>
      </c>
      <c r="AD7" s="21">
        <v>63</v>
      </c>
      <c r="AE7" s="21">
        <v>80</v>
      </c>
      <c r="AF7" s="21">
        <v>100</v>
      </c>
      <c r="AG7" s="18">
        <v>125</v>
      </c>
    </row>
    <row r="8" spans="1:36" x14ac:dyDescent="0.25">
      <c r="A8" s="22">
        <v>1000</v>
      </c>
      <c r="B8" s="23" t="s">
        <v>60</v>
      </c>
      <c r="D8" s="49">
        <v>0.28299999999999997</v>
      </c>
      <c r="E8" s="39">
        <v>3</v>
      </c>
      <c r="F8" s="39">
        <v>3</v>
      </c>
      <c r="G8" s="39">
        <v>3.5</v>
      </c>
      <c r="H8" s="39">
        <v>3.5</v>
      </c>
      <c r="I8" s="50">
        <v>3.8</v>
      </c>
      <c r="K8" s="46">
        <v>6</v>
      </c>
      <c r="O8" s="46" t="s">
        <v>136</v>
      </c>
      <c r="Q8" s="17" t="s">
        <v>134</v>
      </c>
      <c r="R8" s="18">
        <v>20</v>
      </c>
      <c r="S8" s="21">
        <v>36000</v>
      </c>
      <c r="T8" s="21">
        <v>6.3</v>
      </c>
      <c r="U8" s="21">
        <v>10</v>
      </c>
      <c r="V8" s="21">
        <v>10</v>
      </c>
      <c r="W8" s="21">
        <v>16</v>
      </c>
      <c r="X8" s="21">
        <v>16</v>
      </c>
      <c r="Y8" s="21">
        <v>20</v>
      </c>
      <c r="Z8" s="21">
        <v>25</v>
      </c>
      <c r="AA8" s="21">
        <v>25</v>
      </c>
      <c r="AB8" s="21">
        <v>31.5</v>
      </c>
      <c r="AC8" s="21">
        <v>40</v>
      </c>
      <c r="AD8" s="21">
        <v>40</v>
      </c>
      <c r="AE8" s="21">
        <v>50</v>
      </c>
      <c r="AF8" s="21">
        <v>63</v>
      </c>
      <c r="AG8" s="18">
        <v>80</v>
      </c>
    </row>
    <row r="9" spans="1:36" x14ac:dyDescent="0.25">
      <c r="A9" s="22">
        <v>1250</v>
      </c>
      <c r="B9" s="23" t="s">
        <v>61</v>
      </c>
      <c r="D9" s="49">
        <v>0.5</v>
      </c>
      <c r="E9" s="39">
        <v>5</v>
      </c>
      <c r="F9" s="39">
        <v>5</v>
      </c>
      <c r="G9" s="39">
        <v>6</v>
      </c>
      <c r="H9" s="39">
        <v>6</v>
      </c>
      <c r="I9" s="50">
        <v>6.5</v>
      </c>
      <c r="K9" s="46">
        <v>7</v>
      </c>
      <c r="O9" s="46" t="s">
        <v>139</v>
      </c>
      <c r="Q9" s="17"/>
      <c r="R9" s="18">
        <v>25</v>
      </c>
      <c r="S9" s="98"/>
      <c r="T9" s="98" t="s">
        <v>151</v>
      </c>
      <c r="U9" s="98" t="s">
        <v>184</v>
      </c>
      <c r="V9" s="98"/>
      <c r="W9" s="98">
        <f>IF(AND('T1-A1'!D4&gt;0),SMALL(S11:S20,COUNTIF(S11:S20,"&lt;"&amp;'T1-A1'!D4)+1),"")</f>
        <v>10000</v>
      </c>
      <c r="X9" s="98">
        <f>'T1-A1'!D8</f>
        <v>630</v>
      </c>
      <c r="Y9" s="98">
        <f>IF(X9=T10,VLOOKUP(W9,S11:T20,2,FALSE),IF(X9=U10,VLOOKUP(W9,S11:U20,3,FALSE),IF(X9=V10,VLOOKUP(W9,S11:V20,4,FALSE),IF(X9=W10,VLOOKUP(W9,S11:W20,5,FALSE),IF(X9=X10,VLOOKUP(W9,S11:X20,6,FALSE),IF(X9=Y10,VLOOKUP(W9,S11:Y20,7,FALSE),IF(X9=Z10,VLOOKUP(W9,S11:Z20,8,FALSE),IF(X9=AA10,VLOOKUP(W9,S11:AA20,9,FALSE),IF(X9=AB10,VLOOKUP(W9,S11:AB20,10,FALSE),IF(X9=AC10,VLOOKUP(W9,S11:AC20,11,FALSE),IF(X9=AD10,VLOOKUP(W9,S11:AD20,12,FALSE),IF(X9=AE10,VLOOKUP(W9,S11:AE20,13,FALSE),IF(X9=AF10,VLOOKUP(W9,S11:AF20,14,FALSE),IF(X9=AG10,VLOOKUP(W9,S11:AG20,15,FALSE),IF(X9=AH10,VLOOKUP(W9,S11:AH20,16,FALSE),IF(X9=AI10,VLOOKUP(W9,S11:AI20,17,FALSE),IF(X9=AJ10,VLOOKUP(W9,S11:AJ20,18,FALSE),"")))))))))))))))))</f>
        <v>63</v>
      </c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7"/>
    </row>
    <row r="10" spans="1:36" x14ac:dyDescent="0.25">
      <c r="A10" s="22">
        <v>1600</v>
      </c>
      <c r="B10" s="23" t="s">
        <v>147</v>
      </c>
      <c r="D10" s="49">
        <v>0.75</v>
      </c>
      <c r="E10" s="39">
        <v>7.5</v>
      </c>
      <c r="F10" s="39">
        <v>7.5</v>
      </c>
      <c r="G10" s="39">
        <v>9</v>
      </c>
      <c r="H10" s="39">
        <v>9</v>
      </c>
      <c r="I10" s="50">
        <v>10</v>
      </c>
      <c r="K10" s="46">
        <v>8</v>
      </c>
      <c r="O10" s="46" t="s">
        <v>140</v>
      </c>
      <c r="Q10" s="17"/>
      <c r="R10" s="18">
        <v>35</v>
      </c>
      <c r="S10" s="21" t="s">
        <v>143</v>
      </c>
      <c r="T10" s="21">
        <v>50</v>
      </c>
      <c r="U10" s="21">
        <v>75</v>
      </c>
      <c r="V10" s="21">
        <v>100</v>
      </c>
      <c r="W10" s="21">
        <v>125</v>
      </c>
      <c r="X10" s="21">
        <v>160</v>
      </c>
      <c r="Y10" s="21">
        <v>200</v>
      </c>
      <c r="Z10" s="21">
        <v>250</v>
      </c>
      <c r="AA10" s="21">
        <v>315</v>
      </c>
      <c r="AB10" s="21">
        <v>400</v>
      </c>
      <c r="AC10" s="21">
        <v>500</v>
      </c>
      <c r="AD10" s="21">
        <v>630</v>
      </c>
      <c r="AE10" s="21">
        <v>800</v>
      </c>
      <c r="AF10" s="21">
        <v>1000</v>
      </c>
      <c r="AG10" s="21">
        <v>1250</v>
      </c>
      <c r="AH10" s="21">
        <v>1600</v>
      </c>
      <c r="AI10" s="18">
        <v>2000</v>
      </c>
      <c r="AJ10" s="23">
        <v>2500</v>
      </c>
    </row>
    <row r="11" spans="1:36" x14ac:dyDescent="0.25">
      <c r="A11" s="22">
        <v>2000</v>
      </c>
      <c r="B11" s="23" t="s">
        <v>148</v>
      </c>
      <c r="D11" s="49">
        <v>1</v>
      </c>
      <c r="E11" s="39">
        <v>10.5</v>
      </c>
      <c r="F11" s="39">
        <v>10.5</v>
      </c>
      <c r="G11" s="39">
        <v>12</v>
      </c>
      <c r="H11" s="39">
        <v>12</v>
      </c>
      <c r="I11" s="50">
        <v>14.5</v>
      </c>
      <c r="K11" s="46">
        <v>9</v>
      </c>
      <c r="O11" s="46" t="s">
        <v>141</v>
      </c>
      <c r="Q11" s="17"/>
      <c r="R11" s="18">
        <v>50</v>
      </c>
      <c r="S11" s="21">
        <v>3000</v>
      </c>
      <c r="T11" s="21">
        <v>25</v>
      </c>
      <c r="U11" s="21">
        <v>25</v>
      </c>
      <c r="V11" s="21">
        <v>40</v>
      </c>
      <c r="W11" s="21">
        <v>40</v>
      </c>
      <c r="X11" s="21">
        <v>63</v>
      </c>
      <c r="Y11" s="29">
        <v>63</v>
      </c>
      <c r="Z11" s="29">
        <v>63</v>
      </c>
      <c r="AA11" s="29">
        <v>100</v>
      </c>
      <c r="AB11" s="29">
        <v>100</v>
      </c>
      <c r="AC11" s="29">
        <v>100</v>
      </c>
      <c r="AD11" s="29">
        <v>160</v>
      </c>
      <c r="AE11" s="29">
        <v>200</v>
      </c>
      <c r="AF11" s="29">
        <v>200</v>
      </c>
      <c r="AG11" s="29">
        <v>250</v>
      </c>
      <c r="AH11" s="29">
        <v>315</v>
      </c>
      <c r="AI11" s="21"/>
      <c r="AJ11" s="18"/>
    </row>
    <row r="12" spans="1:36" x14ac:dyDescent="0.25">
      <c r="A12" s="22">
        <v>2500</v>
      </c>
      <c r="B12" s="23" t="s">
        <v>149</v>
      </c>
      <c r="D12" s="49">
        <v>1.5</v>
      </c>
      <c r="E12" s="39">
        <v>13.5</v>
      </c>
      <c r="F12" s="39">
        <v>13</v>
      </c>
      <c r="G12" s="39">
        <v>15.5</v>
      </c>
      <c r="H12" s="39">
        <v>15</v>
      </c>
      <c r="I12" s="50">
        <v>18.5</v>
      </c>
      <c r="K12" s="46">
        <v>10</v>
      </c>
      <c r="O12" s="132" t="s">
        <v>151</v>
      </c>
      <c r="Q12" s="17"/>
      <c r="R12" s="18">
        <v>63</v>
      </c>
      <c r="S12" s="21">
        <v>5000</v>
      </c>
      <c r="T12" s="21">
        <v>16</v>
      </c>
      <c r="U12" s="21">
        <v>25</v>
      </c>
      <c r="V12" s="21">
        <v>25</v>
      </c>
      <c r="W12" s="21">
        <v>25</v>
      </c>
      <c r="X12" s="21">
        <v>40</v>
      </c>
      <c r="Y12" s="29">
        <v>40</v>
      </c>
      <c r="Z12" s="29">
        <v>63</v>
      </c>
      <c r="AA12" s="29">
        <v>63</v>
      </c>
      <c r="AB12" s="29">
        <v>63</v>
      </c>
      <c r="AC12" s="29">
        <v>100</v>
      </c>
      <c r="AD12" s="29">
        <v>100</v>
      </c>
      <c r="AE12" s="29">
        <v>100</v>
      </c>
      <c r="AF12" s="29">
        <v>160</v>
      </c>
      <c r="AG12" s="29">
        <v>200</v>
      </c>
      <c r="AH12" s="29">
        <v>200</v>
      </c>
      <c r="AI12" s="29">
        <v>250</v>
      </c>
      <c r="AJ12" s="23">
        <v>315</v>
      </c>
    </row>
    <row r="13" spans="1:36" x14ac:dyDescent="0.25">
      <c r="A13" s="105">
        <v>3200</v>
      </c>
      <c r="B13" s="106" t="s">
        <v>150</v>
      </c>
      <c r="D13" s="49">
        <v>2.5</v>
      </c>
      <c r="E13" s="39">
        <v>18</v>
      </c>
      <c r="F13" s="39">
        <v>17.5</v>
      </c>
      <c r="G13" s="39">
        <v>21</v>
      </c>
      <c r="H13" s="39">
        <v>20</v>
      </c>
      <c r="I13" s="50">
        <v>25</v>
      </c>
      <c r="K13" s="46">
        <v>11</v>
      </c>
      <c r="N13" t="s">
        <v>144</v>
      </c>
      <c r="Q13" s="17" t="s">
        <v>135</v>
      </c>
      <c r="R13" s="18">
        <v>80</v>
      </c>
      <c r="S13" s="21">
        <v>6000</v>
      </c>
      <c r="T13" s="21">
        <v>16</v>
      </c>
      <c r="U13" s="21">
        <v>16</v>
      </c>
      <c r="V13" s="21">
        <v>25</v>
      </c>
      <c r="W13" s="21">
        <v>25</v>
      </c>
      <c r="X13" s="21">
        <v>25</v>
      </c>
      <c r="Y13" s="21">
        <v>40</v>
      </c>
      <c r="Z13" s="29">
        <v>40</v>
      </c>
      <c r="AA13" s="29">
        <v>63</v>
      </c>
      <c r="AB13" s="29">
        <v>63</v>
      </c>
      <c r="AC13" s="29">
        <v>63</v>
      </c>
      <c r="AD13" s="29">
        <v>100</v>
      </c>
      <c r="AE13" s="29">
        <v>100</v>
      </c>
      <c r="AF13" s="29">
        <v>100</v>
      </c>
      <c r="AG13" s="29">
        <v>160</v>
      </c>
      <c r="AH13" s="29">
        <v>200</v>
      </c>
      <c r="AI13" s="29">
        <v>200</v>
      </c>
      <c r="AJ13" s="23">
        <v>250</v>
      </c>
    </row>
    <row r="14" spans="1:36" x14ac:dyDescent="0.25">
      <c r="D14" s="49">
        <v>4</v>
      </c>
      <c r="E14" s="39">
        <v>24</v>
      </c>
      <c r="F14" s="39">
        <v>23</v>
      </c>
      <c r="G14" s="39">
        <v>28</v>
      </c>
      <c r="H14" s="39">
        <v>27</v>
      </c>
      <c r="I14" s="50">
        <v>34</v>
      </c>
      <c r="K14" s="46">
        <v>12</v>
      </c>
      <c r="N14" t="s">
        <v>131</v>
      </c>
      <c r="Q14" s="17"/>
      <c r="R14" s="18">
        <v>100</v>
      </c>
      <c r="S14" s="21">
        <v>10000</v>
      </c>
      <c r="T14" s="21">
        <v>10</v>
      </c>
      <c r="U14" s="21">
        <v>16</v>
      </c>
      <c r="V14" s="21">
        <v>16</v>
      </c>
      <c r="W14" s="21">
        <v>16</v>
      </c>
      <c r="X14" s="21">
        <v>25</v>
      </c>
      <c r="Y14" s="21">
        <v>25</v>
      </c>
      <c r="Z14" s="21">
        <v>25</v>
      </c>
      <c r="AA14" s="21">
        <v>40</v>
      </c>
      <c r="AB14" s="29">
        <v>40</v>
      </c>
      <c r="AC14" s="29">
        <v>63</v>
      </c>
      <c r="AD14" s="29">
        <v>63</v>
      </c>
      <c r="AE14" s="29">
        <v>63</v>
      </c>
      <c r="AF14" s="29">
        <v>100</v>
      </c>
      <c r="AG14" s="29">
        <v>100</v>
      </c>
      <c r="AH14" s="29">
        <v>100</v>
      </c>
      <c r="AI14" s="29">
        <v>160</v>
      </c>
      <c r="AJ14" s="23">
        <v>200</v>
      </c>
    </row>
    <row r="15" spans="1:36" x14ac:dyDescent="0.25">
      <c r="A15" s="289" t="s">
        <v>145</v>
      </c>
      <c r="B15" s="290"/>
      <c r="D15" s="49">
        <v>6</v>
      </c>
      <c r="E15" s="39">
        <v>31</v>
      </c>
      <c r="F15" s="39">
        <v>29</v>
      </c>
      <c r="G15" s="39">
        <v>36</v>
      </c>
      <c r="H15" s="39">
        <v>34</v>
      </c>
      <c r="I15" s="50">
        <v>43</v>
      </c>
      <c r="K15" s="46">
        <v>13</v>
      </c>
      <c r="N15" t="s">
        <v>53</v>
      </c>
      <c r="Q15" s="17" t="s">
        <v>137</v>
      </c>
      <c r="R15" s="18">
        <v>6</v>
      </c>
      <c r="S15" s="21">
        <v>12000</v>
      </c>
      <c r="T15" s="21">
        <v>10</v>
      </c>
      <c r="U15" s="21">
        <v>16</v>
      </c>
      <c r="V15" s="21">
        <v>16</v>
      </c>
      <c r="W15" s="21">
        <v>16</v>
      </c>
      <c r="X15" s="21">
        <v>16</v>
      </c>
      <c r="Y15" s="21">
        <v>25</v>
      </c>
      <c r="Z15" s="21">
        <v>25</v>
      </c>
      <c r="AA15" s="21">
        <v>25</v>
      </c>
      <c r="AB15" s="29">
        <v>40</v>
      </c>
      <c r="AC15" s="29">
        <v>40</v>
      </c>
      <c r="AD15" s="29">
        <v>63</v>
      </c>
      <c r="AE15" s="29">
        <v>63</v>
      </c>
      <c r="AF15" s="29">
        <v>63</v>
      </c>
      <c r="AG15" s="29">
        <v>100</v>
      </c>
      <c r="AH15" s="29">
        <v>100</v>
      </c>
      <c r="AI15" s="29">
        <v>160</v>
      </c>
      <c r="AJ15" s="23">
        <v>160</v>
      </c>
    </row>
    <row r="16" spans="1:36" x14ac:dyDescent="0.25">
      <c r="A16" s="17">
        <v>0.9</v>
      </c>
      <c r="B16" s="18"/>
      <c r="D16" s="49">
        <v>10</v>
      </c>
      <c r="E16" s="39">
        <v>42</v>
      </c>
      <c r="F16" s="39">
        <v>39</v>
      </c>
      <c r="G16" s="39">
        <v>50</v>
      </c>
      <c r="H16" s="39">
        <v>46</v>
      </c>
      <c r="I16" s="50">
        <v>60</v>
      </c>
      <c r="K16" s="46">
        <v>14</v>
      </c>
      <c r="Q16" s="17"/>
      <c r="R16" s="18">
        <v>10</v>
      </c>
      <c r="S16" s="21">
        <v>15000</v>
      </c>
      <c r="T16" s="29">
        <v>10</v>
      </c>
      <c r="U16" s="21">
        <v>10</v>
      </c>
      <c r="V16" s="21">
        <v>16</v>
      </c>
      <c r="W16" s="21">
        <v>16</v>
      </c>
      <c r="X16" s="21">
        <v>16</v>
      </c>
      <c r="Y16" s="21">
        <v>16</v>
      </c>
      <c r="Z16" s="21">
        <v>25</v>
      </c>
      <c r="AA16" s="21">
        <v>25</v>
      </c>
      <c r="AB16" s="21">
        <v>25</v>
      </c>
      <c r="AC16" s="29">
        <v>40</v>
      </c>
      <c r="AD16" s="29">
        <v>40</v>
      </c>
      <c r="AE16" s="29">
        <v>63</v>
      </c>
      <c r="AF16" s="29">
        <v>63</v>
      </c>
      <c r="AG16" s="29">
        <v>63</v>
      </c>
      <c r="AH16" s="29">
        <v>100</v>
      </c>
      <c r="AI16" s="29">
        <v>100</v>
      </c>
      <c r="AJ16" s="23">
        <v>125</v>
      </c>
    </row>
    <row r="17" spans="1:36" x14ac:dyDescent="0.25">
      <c r="A17" s="17">
        <v>0.92</v>
      </c>
      <c r="D17" s="49">
        <v>16</v>
      </c>
      <c r="E17" s="39">
        <v>56</v>
      </c>
      <c r="F17" s="39">
        <v>52</v>
      </c>
      <c r="G17" s="39">
        <v>68</v>
      </c>
      <c r="H17" s="39">
        <v>62</v>
      </c>
      <c r="I17" s="50">
        <v>80</v>
      </c>
      <c r="K17" s="46">
        <v>15</v>
      </c>
      <c r="N17" t="s">
        <v>144</v>
      </c>
      <c r="Q17" s="17"/>
      <c r="R17" s="18">
        <v>16</v>
      </c>
      <c r="S17" s="21">
        <v>20000</v>
      </c>
      <c r="T17" s="29">
        <v>10</v>
      </c>
      <c r="U17" s="29">
        <v>10</v>
      </c>
      <c r="V17" s="21">
        <v>10</v>
      </c>
      <c r="W17" s="21">
        <v>16</v>
      </c>
      <c r="X17" s="21">
        <v>16</v>
      </c>
      <c r="Y17" s="21">
        <v>16</v>
      </c>
      <c r="Z17" s="21">
        <v>16</v>
      </c>
      <c r="AA17" s="21">
        <v>25</v>
      </c>
      <c r="AB17" s="21">
        <v>25</v>
      </c>
      <c r="AC17" s="21">
        <v>25</v>
      </c>
      <c r="AD17" s="29">
        <v>40</v>
      </c>
      <c r="AE17" s="29">
        <v>40</v>
      </c>
      <c r="AF17" s="29">
        <v>63</v>
      </c>
      <c r="AG17" s="29">
        <v>63</v>
      </c>
      <c r="AH17" s="29">
        <v>63</v>
      </c>
      <c r="AI17" s="29">
        <v>100</v>
      </c>
      <c r="AJ17" s="23">
        <v>100</v>
      </c>
    </row>
    <row r="18" spans="1:36" x14ac:dyDescent="0.25">
      <c r="A18" s="17">
        <v>0.93</v>
      </c>
      <c r="B18" s="18"/>
      <c r="D18" s="49">
        <v>25</v>
      </c>
      <c r="E18" s="39">
        <v>73</v>
      </c>
      <c r="F18" s="39">
        <v>68</v>
      </c>
      <c r="G18" s="39">
        <v>89</v>
      </c>
      <c r="H18" s="39">
        <v>80</v>
      </c>
      <c r="I18" s="50">
        <v>101</v>
      </c>
      <c r="K18" s="46">
        <v>16</v>
      </c>
      <c r="N18" t="s">
        <v>131</v>
      </c>
      <c r="Q18" s="17"/>
      <c r="R18" s="18">
        <v>20</v>
      </c>
      <c r="S18" s="21">
        <v>24000</v>
      </c>
      <c r="T18" s="29">
        <v>10</v>
      </c>
      <c r="U18" s="29">
        <v>10</v>
      </c>
      <c r="V18" s="29">
        <v>10</v>
      </c>
      <c r="W18" s="21">
        <v>10</v>
      </c>
      <c r="X18" s="21">
        <v>16</v>
      </c>
      <c r="Y18" s="21">
        <v>16</v>
      </c>
      <c r="Z18" s="21">
        <v>16</v>
      </c>
      <c r="AA18" s="21">
        <v>16</v>
      </c>
      <c r="AB18" s="21">
        <v>25</v>
      </c>
      <c r="AC18" s="21">
        <v>25</v>
      </c>
      <c r="AD18" s="21">
        <v>25</v>
      </c>
      <c r="AE18" s="29">
        <v>40</v>
      </c>
      <c r="AF18" s="29">
        <v>40</v>
      </c>
      <c r="AG18" s="29">
        <v>63</v>
      </c>
      <c r="AH18" s="29">
        <v>63</v>
      </c>
      <c r="AI18" s="29">
        <v>63</v>
      </c>
      <c r="AJ18" s="23">
        <v>100</v>
      </c>
    </row>
    <row r="19" spans="1:36" x14ac:dyDescent="0.25">
      <c r="A19" s="17">
        <v>0.94</v>
      </c>
      <c r="B19" s="18"/>
      <c r="D19" s="49">
        <v>35</v>
      </c>
      <c r="E19" s="39">
        <v>89</v>
      </c>
      <c r="F19" s="39">
        <v>83</v>
      </c>
      <c r="G19" s="39">
        <v>111</v>
      </c>
      <c r="H19" s="39">
        <v>99</v>
      </c>
      <c r="I19" s="50">
        <v>126</v>
      </c>
      <c r="K19" s="46">
        <v>17</v>
      </c>
      <c r="N19" t="s">
        <v>162</v>
      </c>
      <c r="Q19" s="17"/>
      <c r="R19" s="18">
        <v>25</v>
      </c>
      <c r="S19" s="21">
        <v>30000</v>
      </c>
      <c r="T19" s="29">
        <v>10</v>
      </c>
      <c r="U19" s="29">
        <v>10</v>
      </c>
      <c r="V19" s="29">
        <v>10</v>
      </c>
      <c r="W19" s="29">
        <v>10</v>
      </c>
      <c r="X19" s="21">
        <v>10</v>
      </c>
      <c r="Y19" s="21">
        <v>16</v>
      </c>
      <c r="Z19" s="21">
        <v>16</v>
      </c>
      <c r="AA19" s="21">
        <v>16</v>
      </c>
      <c r="AB19" s="21">
        <v>16</v>
      </c>
      <c r="AC19" s="21">
        <v>25</v>
      </c>
      <c r="AD19" s="21">
        <v>25</v>
      </c>
      <c r="AE19" s="21">
        <v>25</v>
      </c>
      <c r="AF19" s="29">
        <v>40</v>
      </c>
      <c r="AG19" s="29">
        <v>40</v>
      </c>
      <c r="AH19" s="29">
        <v>40</v>
      </c>
      <c r="AI19" s="21" t="s">
        <v>186</v>
      </c>
      <c r="AJ19" s="18" t="s">
        <v>186</v>
      </c>
    </row>
    <row r="20" spans="1:36" x14ac:dyDescent="0.25">
      <c r="A20" s="17">
        <v>0.95</v>
      </c>
      <c r="B20" s="18"/>
      <c r="D20" s="49">
        <v>50</v>
      </c>
      <c r="E20" s="39">
        <v>108</v>
      </c>
      <c r="F20" s="39">
        <v>99</v>
      </c>
      <c r="G20" s="39">
        <v>134</v>
      </c>
      <c r="H20" s="39">
        <v>118</v>
      </c>
      <c r="I20" s="50">
        <v>153</v>
      </c>
      <c r="K20" s="46">
        <v>18</v>
      </c>
      <c r="Q20" s="17"/>
      <c r="R20" s="18">
        <v>32</v>
      </c>
      <c r="S20" s="99">
        <v>36000</v>
      </c>
      <c r="T20" s="130">
        <v>10</v>
      </c>
      <c r="U20" s="130">
        <v>10</v>
      </c>
      <c r="V20" s="130">
        <v>10</v>
      </c>
      <c r="W20" s="130">
        <v>10</v>
      </c>
      <c r="X20" s="130">
        <v>10</v>
      </c>
      <c r="Y20" s="99">
        <v>10</v>
      </c>
      <c r="Z20" s="99">
        <v>16</v>
      </c>
      <c r="AA20" s="99">
        <v>16</v>
      </c>
      <c r="AB20" s="99">
        <v>16</v>
      </c>
      <c r="AC20" s="99">
        <v>16</v>
      </c>
      <c r="AD20" s="99">
        <v>25</v>
      </c>
      <c r="AE20" s="99">
        <v>25</v>
      </c>
      <c r="AF20" s="99">
        <v>25</v>
      </c>
      <c r="AG20" s="130">
        <v>40</v>
      </c>
      <c r="AH20" s="130">
        <v>40</v>
      </c>
      <c r="AI20" s="99" t="s">
        <v>186</v>
      </c>
      <c r="AJ20" s="20" t="s">
        <v>186</v>
      </c>
    </row>
    <row r="21" spans="1:36" x14ac:dyDescent="0.25">
      <c r="A21" s="17">
        <v>0.96</v>
      </c>
      <c r="B21" s="18"/>
      <c r="D21" s="49">
        <v>70</v>
      </c>
      <c r="E21" s="39">
        <v>136</v>
      </c>
      <c r="F21" s="39">
        <v>125</v>
      </c>
      <c r="G21" s="39">
        <v>171</v>
      </c>
      <c r="H21" s="39">
        <v>149</v>
      </c>
      <c r="I21" s="50">
        <v>196</v>
      </c>
      <c r="K21" s="46"/>
      <c r="Q21" s="17"/>
      <c r="R21" s="18">
        <v>35</v>
      </c>
      <c r="S21" s="98"/>
      <c r="T21" s="98" t="s">
        <v>151</v>
      </c>
      <c r="U21" s="98" t="s">
        <v>185</v>
      </c>
      <c r="V21" s="98"/>
      <c r="W21" s="98">
        <f>IF(AND('T1-A1'!D5&gt;0),SMALL(S23:S25,COUNTIF(S23:S25,"&lt;"&amp;'T1-A1'!D5/SQRT(3))+0),"")</f>
        <v>230</v>
      </c>
      <c r="X21" s="98">
        <f>'T1-A1'!D8</f>
        <v>630</v>
      </c>
      <c r="Y21" s="133">
        <f>IF(X21=T22,VLOOKUP(W21,S23:T25,2,FALSE),IF(X21=U22,VLOOKUP(W21,S23:U25,3,FALSE),IF(X21=V22,VLOOKUP(W21,S23:V25,4,FALSE),IF(X21=W22,VLOOKUP(W21,S23:W25,5,FALSE),IF(X21=X22,VLOOKUP(W21,S23:X25,6,FALSE),IF(X21=Y22,VLOOKUP(W21,S23:Y25,7,FALSE),IF(X21=Z22,VLOOKUP(W21,S23:Z25,8,FALSE),IF(X21=AA22,VLOOKUP(W21,S23:AA25,9,FALSE),IF(X21=AB22,VLOOKUP(W21,S23:AB25,10,FALSE),IF(X21=AC22,VLOOKUP(W21,S23:AC25,11,FALSE),IF(X21=AD22,VLOOKUP(W21,S23:AD25,12,FALSE),IF(X21=AE22,VLOOKUP(W21,S23:AE25,13,FALSE),IF(X21=AF22,VLOOKUP(W21,S23:AF25,14,FALSE),IF(X21=AG22,VLOOKUP(W21,S23:AG25,15,FALSE),IF(X21=AH22,VLOOKUP(W21,S23:AH25,16,FALSE),"")))))))))))))))</f>
        <v>0</v>
      </c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7"/>
    </row>
    <row r="22" spans="1:36" x14ac:dyDescent="0.25">
      <c r="A22" s="17">
        <v>0.97</v>
      </c>
      <c r="B22" s="18"/>
      <c r="D22" s="49">
        <v>95</v>
      </c>
      <c r="E22" s="39">
        <v>164</v>
      </c>
      <c r="F22" s="39">
        <v>150</v>
      </c>
      <c r="G22" s="39">
        <v>207</v>
      </c>
      <c r="H22" s="39">
        <v>179</v>
      </c>
      <c r="I22" s="50">
        <v>238</v>
      </c>
      <c r="K22" s="46">
        <v>20</v>
      </c>
      <c r="Q22" s="17"/>
      <c r="R22" s="18">
        <v>40</v>
      </c>
      <c r="S22" s="21" t="s">
        <v>143</v>
      </c>
      <c r="T22" s="21">
        <v>50</v>
      </c>
      <c r="U22" s="21">
        <v>75</v>
      </c>
      <c r="V22" s="21">
        <v>100</v>
      </c>
      <c r="W22" s="21">
        <v>125</v>
      </c>
      <c r="X22" s="21">
        <v>160</v>
      </c>
      <c r="Y22" s="21">
        <v>200</v>
      </c>
      <c r="Z22" s="21">
        <v>250</v>
      </c>
      <c r="AA22" s="21">
        <v>315</v>
      </c>
      <c r="AB22" s="21">
        <v>400</v>
      </c>
      <c r="AC22" s="21">
        <v>500</v>
      </c>
      <c r="AD22" s="21">
        <v>630</v>
      </c>
      <c r="AE22" s="21">
        <v>800</v>
      </c>
      <c r="AF22" s="21">
        <v>1000</v>
      </c>
      <c r="AG22" s="21">
        <v>1250</v>
      </c>
      <c r="AH22" s="21">
        <v>1600</v>
      </c>
      <c r="AI22" s="18">
        <v>2000</v>
      </c>
      <c r="AJ22" s="23">
        <v>2500</v>
      </c>
    </row>
    <row r="23" spans="1:36" x14ac:dyDescent="0.25">
      <c r="A23" s="17">
        <v>0.98</v>
      </c>
      <c r="B23" s="18"/>
      <c r="D23" s="49">
        <v>120</v>
      </c>
      <c r="E23" s="39">
        <v>188</v>
      </c>
      <c r="F23" s="39">
        <v>172</v>
      </c>
      <c r="G23" s="39">
        <v>239</v>
      </c>
      <c r="H23" s="39">
        <v>206</v>
      </c>
      <c r="I23" s="50">
        <v>276</v>
      </c>
      <c r="K23" s="46">
        <v>21</v>
      </c>
      <c r="Q23" s="17"/>
      <c r="R23" s="18">
        <v>50</v>
      </c>
      <c r="S23" s="21">
        <v>230</v>
      </c>
      <c r="T23" s="21">
        <v>80</v>
      </c>
      <c r="U23" s="21">
        <v>100</v>
      </c>
      <c r="V23" s="21">
        <v>125</v>
      </c>
      <c r="W23" s="21">
        <v>160</v>
      </c>
      <c r="X23" s="21">
        <v>200</v>
      </c>
      <c r="Y23" s="21">
        <v>250</v>
      </c>
      <c r="Z23" s="21">
        <v>315</v>
      </c>
      <c r="AA23" s="21">
        <v>400</v>
      </c>
      <c r="AB23" s="21">
        <v>500</v>
      </c>
      <c r="AC23" s="21">
        <v>630</v>
      </c>
      <c r="AD23" s="21"/>
      <c r="AE23" s="21"/>
      <c r="AF23" s="21"/>
      <c r="AG23" s="21"/>
      <c r="AH23" s="21"/>
      <c r="AI23" s="21"/>
      <c r="AJ23" s="18"/>
    </row>
    <row r="24" spans="1:36" x14ac:dyDescent="0.25">
      <c r="A24" s="19">
        <v>1</v>
      </c>
      <c r="B24" s="20"/>
      <c r="D24" s="49">
        <v>150</v>
      </c>
      <c r="E24" s="39">
        <v>216</v>
      </c>
      <c r="F24" s="39">
        <v>196</v>
      </c>
      <c r="G24" s="39">
        <v>299</v>
      </c>
      <c r="H24" s="39" t="s">
        <v>121</v>
      </c>
      <c r="I24" s="50">
        <v>319</v>
      </c>
      <c r="K24" s="46">
        <v>22</v>
      </c>
      <c r="Q24" s="17"/>
      <c r="R24" s="18">
        <v>63</v>
      </c>
      <c r="S24" s="21">
        <v>400</v>
      </c>
      <c r="T24" s="21">
        <v>50</v>
      </c>
      <c r="U24" s="21">
        <v>63</v>
      </c>
      <c r="V24" s="21">
        <v>100</v>
      </c>
      <c r="W24" s="21">
        <v>100</v>
      </c>
      <c r="X24" s="21">
        <v>125</v>
      </c>
      <c r="Y24" s="21">
        <v>125</v>
      </c>
      <c r="Z24" s="21">
        <v>200</v>
      </c>
      <c r="AA24" s="21">
        <v>250</v>
      </c>
      <c r="AB24" s="21">
        <v>250</v>
      </c>
      <c r="AC24" s="21">
        <v>350</v>
      </c>
      <c r="AD24" s="21">
        <v>400</v>
      </c>
      <c r="AE24" s="21">
        <v>400</v>
      </c>
      <c r="AF24" s="21">
        <v>500</v>
      </c>
      <c r="AG24" s="21">
        <v>630</v>
      </c>
      <c r="AH24" s="21"/>
      <c r="AI24" s="21"/>
      <c r="AJ24" s="18"/>
    </row>
    <row r="25" spans="1:36" x14ac:dyDescent="0.25">
      <c r="A25" s="104">
        <v>1.5</v>
      </c>
      <c r="B25" s="97"/>
      <c r="D25" s="49">
        <v>185</v>
      </c>
      <c r="E25" s="39">
        <v>248</v>
      </c>
      <c r="F25" s="39">
        <v>223</v>
      </c>
      <c r="G25" s="39">
        <v>341</v>
      </c>
      <c r="H25" s="39" t="s">
        <v>121</v>
      </c>
      <c r="I25" s="50">
        <v>364</v>
      </c>
      <c r="K25" s="46"/>
      <c r="Q25" s="17"/>
      <c r="R25" s="18">
        <v>80</v>
      </c>
      <c r="S25" s="99">
        <v>500</v>
      </c>
      <c r="T25" s="99">
        <v>40</v>
      </c>
      <c r="U25" s="99">
        <v>50</v>
      </c>
      <c r="V25" s="99">
        <v>80</v>
      </c>
      <c r="W25" s="99">
        <v>80</v>
      </c>
      <c r="X25" s="99">
        <v>100</v>
      </c>
      <c r="Y25" s="99">
        <v>100</v>
      </c>
      <c r="Z25" s="99">
        <v>160</v>
      </c>
      <c r="AA25" s="99">
        <v>160</v>
      </c>
      <c r="AB25" s="99">
        <v>200</v>
      </c>
      <c r="AC25" s="99">
        <v>250</v>
      </c>
      <c r="AD25" s="99">
        <v>350</v>
      </c>
      <c r="AE25" s="99">
        <v>350</v>
      </c>
      <c r="AF25" s="99">
        <v>400</v>
      </c>
      <c r="AG25" s="99">
        <v>500</v>
      </c>
      <c r="AH25" s="99">
        <v>630</v>
      </c>
      <c r="AI25" s="99"/>
      <c r="AJ25" s="20"/>
    </row>
    <row r="26" spans="1:36" x14ac:dyDescent="0.25">
      <c r="A26" s="22">
        <v>2</v>
      </c>
      <c r="B26" s="18"/>
      <c r="D26" s="49">
        <v>240</v>
      </c>
      <c r="E26" s="39">
        <v>286</v>
      </c>
      <c r="F26" s="39">
        <v>261</v>
      </c>
      <c r="G26" s="39">
        <v>403</v>
      </c>
      <c r="H26" s="39" t="s">
        <v>121</v>
      </c>
      <c r="I26" s="50">
        <v>430</v>
      </c>
      <c r="K26" s="46">
        <v>24</v>
      </c>
      <c r="Q26" s="17"/>
      <c r="R26" s="18">
        <v>100</v>
      </c>
    </row>
    <row r="27" spans="1:36" ht="15.75" thickBot="1" x14ac:dyDescent="0.3">
      <c r="A27" s="22">
        <v>3</v>
      </c>
      <c r="B27" s="18"/>
      <c r="D27" s="51">
        <v>300</v>
      </c>
      <c r="E27" s="52">
        <v>328</v>
      </c>
      <c r="F27" s="52">
        <v>298</v>
      </c>
      <c r="G27" s="52">
        <v>464</v>
      </c>
      <c r="H27" s="52" t="s">
        <v>121</v>
      </c>
      <c r="I27" s="53">
        <v>497</v>
      </c>
      <c r="K27" s="46">
        <v>25</v>
      </c>
      <c r="Q27" s="17"/>
      <c r="R27" s="18">
        <v>125</v>
      </c>
    </row>
    <row r="28" spans="1:36" x14ac:dyDescent="0.25">
      <c r="A28" s="22">
        <v>4</v>
      </c>
      <c r="B28" s="18"/>
      <c r="D28" s="54" t="s">
        <v>122</v>
      </c>
      <c r="E28" s="316"/>
      <c r="F28" s="317"/>
      <c r="G28" s="317"/>
      <c r="H28" s="317"/>
      <c r="I28" s="318"/>
      <c r="K28" s="46">
        <v>26</v>
      </c>
      <c r="Q28" s="17"/>
      <c r="R28" s="18">
        <v>160</v>
      </c>
    </row>
    <row r="29" spans="1:36" x14ac:dyDescent="0.25">
      <c r="A29" s="22">
        <v>5</v>
      </c>
      <c r="B29" s="18"/>
      <c r="D29" s="55">
        <v>16</v>
      </c>
      <c r="E29" s="39">
        <v>43</v>
      </c>
      <c r="F29" s="39">
        <v>41</v>
      </c>
      <c r="G29" s="39">
        <v>53</v>
      </c>
      <c r="H29" s="39">
        <v>48</v>
      </c>
      <c r="I29" s="50">
        <v>61</v>
      </c>
      <c r="K29" s="46">
        <v>27</v>
      </c>
      <c r="Q29" s="17" t="s">
        <v>136</v>
      </c>
      <c r="R29" s="18">
        <v>35</v>
      </c>
    </row>
    <row r="30" spans="1:36" x14ac:dyDescent="0.25">
      <c r="A30" s="22">
        <v>6</v>
      </c>
      <c r="B30" s="18"/>
      <c r="D30" s="55">
        <v>25</v>
      </c>
      <c r="E30" s="39">
        <v>57</v>
      </c>
      <c r="F30" s="39">
        <v>53</v>
      </c>
      <c r="G30" s="39">
        <v>70</v>
      </c>
      <c r="H30" s="39">
        <v>62</v>
      </c>
      <c r="I30" s="50">
        <v>78</v>
      </c>
      <c r="K30" s="46">
        <v>28</v>
      </c>
      <c r="Q30" s="17"/>
      <c r="R30" s="18">
        <v>40</v>
      </c>
    </row>
    <row r="31" spans="1:36" x14ac:dyDescent="0.25">
      <c r="A31" s="22">
        <v>7</v>
      </c>
      <c r="B31" s="18"/>
      <c r="D31" s="55">
        <v>35</v>
      </c>
      <c r="E31" s="39">
        <v>70</v>
      </c>
      <c r="F31" s="39">
        <v>65</v>
      </c>
      <c r="G31" s="39">
        <v>86</v>
      </c>
      <c r="H31" s="39">
        <v>77</v>
      </c>
      <c r="I31" s="50">
        <v>96</v>
      </c>
      <c r="K31" s="46">
        <v>29</v>
      </c>
      <c r="Q31" s="17"/>
      <c r="R31" s="18">
        <v>50</v>
      </c>
    </row>
    <row r="32" spans="1:36" x14ac:dyDescent="0.25">
      <c r="A32" s="22">
        <v>8</v>
      </c>
      <c r="B32" s="18"/>
      <c r="D32" s="55">
        <v>50</v>
      </c>
      <c r="E32" s="39">
        <v>84</v>
      </c>
      <c r="F32" s="39">
        <v>78</v>
      </c>
      <c r="G32" s="39">
        <v>104</v>
      </c>
      <c r="H32" s="39">
        <v>92</v>
      </c>
      <c r="I32" s="50">
        <v>117</v>
      </c>
      <c r="K32" s="46">
        <v>30</v>
      </c>
      <c r="Q32" s="17"/>
      <c r="R32" s="18">
        <v>63</v>
      </c>
    </row>
    <row r="33" spans="1:18" x14ac:dyDescent="0.25">
      <c r="A33" s="105">
        <v>10</v>
      </c>
      <c r="B33" s="20"/>
      <c r="D33" s="55">
        <v>70</v>
      </c>
      <c r="E33" s="39">
        <v>107</v>
      </c>
      <c r="F33" s="39">
        <v>98</v>
      </c>
      <c r="G33" s="39">
        <v>133</v>
      </c>
      <c r="H33" s="39">
        <v>116</v>
      </c>
      <c r="I33" s="50">
        <v>150</v>
      </c>
      <c r="K33" s="46">
        <v>31</v>
      </c>
      <c r="Q33" s="17"/>
      <c r="R33" s="18">
        <v>80</v>
      </c>
    </row>
    <row r="34" spans="1:18" x14ac:dyDescent="0.25">
      <c r="A34" s="96" t="s">
        <v>146</v>
      </c>
      <c r="B34" s="97"/>
      <c r="D34" s="55">
        <v>95</v>
      </c>
      <c r="E34" s="39">
        <v>129</v>
      </c>
      <c r="F34" s="39">
        <v>118</v>
      </c>
      <c r="G34" s="39">
        <v>161</v>
      </c>
      <c r="H34" s="39">
        <v>139</v>
      </c>
      <c r="I34" s="50">
        <v>183</v>
      </c>
      <c r="K34" s="46">
        <v>32</v>
      </c>
      <c r="Q34" s="17"/>
      <c r="R34" s="18">
        <v>100</v>
      </c>
    </row>
    <row r="35" spans="1:18" x14ac:dyDescent="0.25">
      <c r="A35" s="17">
        <v>16</v>
      </c>
      <c r="B35" s="18"/>
      <c r="D35" s="55">
        <v>120</v>
      </c>
      <c r="E35" s="39">
        <v>149</v>
      </c>
      <c r="F35" s="39">
        <v>135</v>
      </c>
      <c r="G35" s="39">
        <v>186</v>
      </c>
      <c r="H35" s="39">
        <v>160</v>
      </c>
      <c r="I35" s="50">
        <v>212</v>
      </c>
      <c r="K35" s="46">
        <v>33</v>
      </c>
      <c r="Q35" s="17"/>
      <c r="R35" s="18">
        <v>125</v>
      </c>
    </row>
    <row r="36" spans="1:18" x14ac:dyDescent="0.25">
      <c r="A36" s="17">
        <v>25</v>
      </c>
      <c r="B36" s="18"/>
      <c r="D36" s="55">
        <v>150</v>
      </c>
      <c r="E36" s="56">
        <v>170</v>
      </c>
      <c r="F36" s="56">
        <v>155</v>
      </c>
      <c r="G36" s="56">
        <v>227</v>
      </c>
      <c r="H36" s="56" t="s">
        <v>121</v>
      </c>
      <c r="I36" s="57">
        <v>245</v>
      </c>
      <c r="K36" s="46">
        <v>34</v>
      </c>
      <c r="Q36" s="17"/>
      <c r="R36" s="18">
        <v>160</v>
      </c>
    </row>
    <row r="37" spans="1:18" x14ac:dyDescent="0.25">
      <c r="A37" s="17">
        <v>32</v>
      </c>
      <c r="B37" s="18"/>
      <c r="D37" s="55">
        <v>185</v>
      </c>
      <c r="E37" s="56">
        <v>194</v>
      </c>
      <c r="F37" s="56">
        <v>176</v>
      </c>
      <c r="G37" s="56">
        <v>259</v>
      </c>
      <c r="H37" s="56" t="s">
        <v>121</v>
      </c>
      <c r="I37" s="57">
        <v>280</v>
      </c>
      <c r="K37" s="46">
        <v>35</v>
      </c>
      <c r="Q37" s="17"/>
      <c r="R37" s="18">
        <v>200</v>
      </c>
    </row>
    <row r="38" spans="1:18" x14ac:dyDescent="0.25">
      <c r="A38" s="17">
        <v>40</v>
      </c>
      <c r="B38" s="18"/>
      <c r="D38" s="55">
        <v>240</v>
      </c>
      <c r="E38" s="56">
        <v>227</v>
      </c>
      <c r="F38" s="56">
        <v>207</v>
      </c>
      <c r="G38" s="56">
        <v>305</v>
      </c>
      <c r="H38" s="56" t="s">
        <v>121</v>
      </c>
      <c r="I38" s="57">
        <v>330</v>
      </c>
      <c r="K38" s="46">
        <v>36</v>
      </c>
      <c r="Q38" s="17"/>
      <c r="R38" s="18">
        <v>225</v>
      </c>
    </row>
    <row r="39" spans="1:18" ht="15.75" thickBot="1" x14ac:dyDescent="0.3">
      <c r="A39" s="17">
        <v>50</v>
      </c>
      <c r="B39" s="18"/>
      <c r="D39" s="58">
        <v>300</v>
      </c>
      <c r="E39" s="52">
        <v>261</v>
      </c>
      <c r="F39" s="52">
        <v>237</v>
      </c>
      <c r="G39" s="52">
        <v>351</v>
      </c>
      <c r="H39" s="52" t="s">
        <v>121</v>
      </c>
      <c r="I39" s="53">
        <v>381</v>
      </c>
      <c r="K39" s="46">
        <v>40</v>
      </c>
      <c r="Q39" s="17"/>
      <c r="R39" s="18">
        <v>250</v>
      </c>
    </row>
    <row r="40" spans="1:18" ht="15.75" thickBot="1" x14ac:dyDescent="0.3">
      <c r="A40" s="17">
        <v>63</v>
      </c>
      <c r="B40" s="18"/>
      <c r="K40" s="46">
        <v>41</v>
      </c>
      <c r="Q40" s="17" t="s">
        <v>139</v>
      </c>
      <c r="R40" s="18">
        <v>80</v>
      </c>
    </row>
    <row r="41" spans="1:18" ht="15.75" thickTop="1" x14ac:dyDescent="0.25">
      <c r="A41" s="17">
        <v>80</v>
      </c>
      <c r="B41" s="18"/>
      <c r="D41" s="59" t="s">
        <v>123</v>
      </c>
      <c r="E41" s="319" t="s">
        <v>108</v>
      </c>
      <c r="F41" s="320"/>
      <c r="G41" s="321" t="s">
        <v>109</v>
      </c>
      <c r="H41" s="322"/>
      <c r="I41" s="60" t="s">
        <v>110</v>
      </c>
      <c r="K41" s="46">
        <v>42</v>
      </c>
      <c r="Q41" s="17"/>
      <c r="R41" s="18">
        <v>100</v>
      </c>
    </row>
    <row r="42" spans="1:18" ht="15.75" thickBot="1" x14ac:dyDescent="0.3">
      <c r="A42" s="17">
        <v>100</v>
      </c>
      <c r="B42" s="18"/>
      <c r="D42" s="61"/>
      <c r="E42" s="308" t="s">
        <v>112</v>
      </c>
      <c r="F42" s="309"/>
      <c r="G42" s="310" t="s">
        <v>112</v>
      </c>
      <c r="H42" s="311"/>
      <c r="I42" s="62" t="s">
        <v>113</v>
      </c>
      <c r="K42" s="46">
        <v>43</v>
      </c>
      <c r="Q42" s="17"/>
      <c r="R42" s="18">
        <v>125</v>
      </c>
    </row>
    <row r="43" spans="1:18" x14ac:dyDescent="0.25">
      <c r="A43" s="17">
        <v>125</v>
      </c>
      <c r="B43" s="18"/>
      <c r="D43" s="63" t="s">
        <v>115</v>
      </c>
      <c r="E43" s="64" t="s">
        <v>116</v>
      </c>
      <c r="F43" s="65">
        <v>2</v>
      </c>
      <c r="G43" s="66" t="s">
        <v>124</v>
      </c>
      <c r="H43" s="67" t="s">
        <v>125</v>
      </c>
      <c r="I43" s="68" t="s">
        <v>119</v>
      </c>
      <c r="K43" s="46">
        <v>44</v>
      </c>
      <c r="Q43" s="17"/>
      <c r="R43" s="18">
        <v>200</v>
      </c>
    </row>
    <row r="44" spans="1:18" x14ac:dyDescent="0.25">
      <c r="A44" s="17">
        <v>160</v>
      </c>
      <c r="B44" s="18"/>
      <c r="D44" s="69"/>
      <c r="E44" s="64"/>
      <c r="F44" s="65"/>
      <c r="G44" s="66" t="s">
        <v>126</v>
      </c>
      <c r="H44" s="67">
        <v>47.54</v>
      </c>
      <c r="I44" s="68"/>
      <c r="K44" s="46">
        <v>45</v>
      </c>
      <c r="Q44" s="17"/>
      <c r="R44" s="18">
        <v>224</v>
      </c>
    </row>
    <row r="45" spans="1:18" ht="15.75" thickBot="1" x14ac:dyDescent="0.3">
      <c r="A45" s="17">
        <v>200</v>
      </c>
      <c r="B45" s="18"/>
      <c r="D45" s="61"/>
      <c r="E45" s="64"/>
      <c r="F45" s="65"/>
      <c r="G45" s="26" t="s">
        <v>127</v>
      </c>
      <c r="H45" s="67"/>
      <c r="I45" s="68"/>
      <c r="K45" s="46">
        <v>46</v>
      </c>
      <c r="Q45" s="17"/>
      <c r="R45" s="18">
        <v>250</v>
      </c>
    </row>
    <row r="46" spans="1:18" ht="15.75" thickBot="1" x14ac:dyDescent="0.3">
      <c r="A46" s="19">
        <v>250</v>
      </c>
      <c r="B46" s="20"/>
      <c r="D46" s="70" t="s">
        <v>128</v>
      </c>
      <c r="E46" s="71" t="s">
        <v>129</v>
      </c>
      <c r="F46" s="72"/>
      <c r="G46" s="72"/>
      <c r="H46" s="72"/>
      <c r="I46" s="73"/>
      <c r="K46" s="46">
        <v>47</v>
      </c>
      <c r="Q46" s="17"/>
      <c r="R46" s="18">
        <v>300</v>
      </c>
    </row>
    <row r="47" spans="1:18" ht="15.75" thickBot="1" x14ac:dyDescent="0.3">
      <c r="D47" s="74" t="s">
        <v>76</v>
      </c>
      <c r="E47" s="75" t="s">
        <v>6</v>
      </c>
      <c r="F47" s="75" t="s">
        <v>6</v>
      </c>
      <c r="G47" s="75" t="s">
        <v>6</v>
      </c>
      <c r="H47" s="75" t="s">
        <v>6</v>
      </c>
      <c r="I47" s="76" t="s">
        <v>6</v>
      </c>
      <c r="K47" s="46">
        <v>50</v>
      </c>
      <c r="Q47" s="17"/>
      <c r="R47" s="18">
        <v>315</v>
      </c>
    </row>
    <row r="48" spans="1:18" x14ac:dyDescent="0.25">
      <c r="D48" s="77" t="s">
        <v>120</v>
      </c>
      <c r="E48" s="78"/>
      <c r="F48" s="79"/>
      <c r="G48" s="79"/>
      <c r="H48" s="79"/>
      <c r="I48" s="80"/>
      <c r="K48" s="46">
        <v>51</v>
      </c>
      <c r="Q48" s="17"/>
      <c r="R48" s="18">
        <v>355</v>
      </c>
    </row>
    <row r="49" spans="4:29" x14ac:dyDescent="0.25">
      <c r="D49" s="40">
        <v>1.5</v>
      </c>
      <c r="E49" s="39">
        <v>17</v>
      </c>
      <c r="F49" s="39">
        <v>16.5</v>
      </c>
      <c r="G49" s="39">
        <v>20</v>
      </c>
      <c r="H49" s="39">
        <v>19.5</v>
      </c>
      <c r="I49" s="81">
        <v>23</v>
      </c>
      <c r="K49" s="46">
        <v>52</v>
      </c>
      <c r="Q49" s="17"/>
      <c r="R49" s="18">
        <v>400</v>
      </c>
    </row>
    <row r="50" spans="4:29" x14ac:dyDescent="0.25">
      <c r="D50" s="40">
        <v>2.5</v>
      </c>
      <c r="E50" s="39">
        <v>23</v>
      </c>
      <c r="F50" s="39">
        <v>22</v>
      </c>
      <c r="G50" s="39">
        <v>28</v>
      </c>
      <c r="H50" s="39">
        <v>26</v>
      </c>
      <c r="I50" s="81">
        <v>32</v>
      </c>
      <c r="K50" s="46">
        <v>53</v>
      </c>
      <c r="Q50" s="17" t="s">
        <v>140</v>
      </c>
      <c r="R50" s="18">
        <v>425</v>
      </c>
    </row>
    <row r="51" spans="4:29" x14ac:dyDescent="0.25">
      <c r="D51" s="40">
        <v>4</v>
      </c>
      <c r="E51" s="39">
        <v>31</v>
      </c>
      <c r="F51" s="39">
        <v>30</v>
      </c>
      <c r="G51" s="39">
        <v>37</v>
      </c>
      <c r="H51" s="39">
        <v>35</v>
      </c>
      <c r="I51" s="81">
        <v>42</v>
      </c>
      <c r="K51" s="46">
        <v>54</v>
      </c>
      <c r="Q51" s="17"/>
      <c r="R51" s="18">
        <v>500</v>
      </c>
    </row>
    <row r="52" spans="4:29" x14ac:dyDescent="0.25">
      <c r="D52" s="40">
        <v>6</v>
      </c>
      <c r="E52" s="39">
        <v>40</v>
      </c>
      <c r="F52" s="39">
        <v>38</v>
      </c>
      <c r="G52" s="39">
        <v>48</v>
      </c>
      <c r="H52" s="39">
        <v>44</v>
      </c>
      <c r="I52" s="81">
        <v>54</v>
      </c>
      <c r="K52" s="46">
        <v>55</v>
      </c>
      <c r="Q52" s="17"/>
      <c r="R52" s="18">
        <v>630</v>
      </c>
    </row>
    <row r="53" spans="4:29" x14ac:dyDescent="0.25">
      <c r="D53" s="40">
        <v>10</v>
      </c>
      <c r="E53" s="39">
        <v>54</v>
      </c>
      <c r="F53" s="39">
        <v>51</v>
      </c>
      <c r="G53" s="39">
        <v>66</v>
      </c>
      <c r="H53" s="39">
        <v>60</v>
      </c>
      <c r="I53" s="81">
        <v>75</v>
      </c>
      <c r="K53" s="46">
        <v>56</v>
      </c>
      <c r="Q53" s="17" t="s">
        <v>141</v>
      </c>
      <c r="R53" s="18">
        <v>800</v>
      </c>
    </row>
    <row r="54" spans="4:29" x14ac:dyDescent="0.25">
      <c r="D54" s="40">
        <v>16</v>
      </c>
      <c r="E54" s="39">
        <v>73</v>
      </c>
      <c r="F54" s="39">
        <v>68</v>
      </c>
      <c r="G54" s="39">
        <v>88</v>
      </c>
      <c r="H54" s="39">
        <v>80</v>
      </c>
      <c r="I54" s="81">
        <v>100</v>
      </c>
      <c r="K54" s="46">
        <v>57</v>
      </c>
      <c r="Q54" s="17"/>
      <c r="R54" s="18">
        <v>1000</v>
      </c>
    </row>
    <row r="55" spans="4:29" x14ac:dyDescent="0.25">
      <c r="D55" s="40">
        <v>25</v>
      </c>
      <c r="E55" s="39">
        <v>95</v>
      </c>
      <c r="F55" s="39">
        <v>89</v>
      </c>
      <c r="G55" s="39">
        <v>117</v>
      </c>
      <c r="H55" s="39">
        <v>105</v>
      </c>
      <c r="I55" s="81">
        <v>127</v>
      </c>
      <c r="K55" s="46">
        <v>58</v>
      </c>
      <c r="Q55" s="17"/>
      <c r="R55" s="18">
        <v>1250</v>
      </c>
    </row>
    <row r="56" spans="4:29" x14ac:dyDescent="0.25">
      <c r="D56" s="40">
        <v>35</v>
      </c>
      <c r="E56" s="39">
        <v>117</v>
      </c>
      <c r="F56" s="39">
        <v>109</v>
      </c>
      <c r="G56" s="39">
        <v>144</v>
      </c>
      <c r="H56" s="39">
        <v>128</v>
      </c>
      <c r="I56" s="81">
        <v>158</v>
      </c>
      <c r="K56" s="46">
        <v>59</v>
      </c>
      <c r="Q56" s="17"/>
      <c r="R56" s="23">
        <v>1500</v>
      </c>
    </row>
    <row r="57" spans="4:29" x14ac:dyDescent="0.25">
      <c r="D57" s="40">
        <v>50</v>
      </c>
      <c r="E57" s="39">
        <v>141</v>
      </c>
      <c r="F57" s="39">
        <v>130</v>
      </c>
      <c r="G57" s="39">
        <v>175</v>
      </c>
      <c r="H57" s="39">
        <v>154</v>
      </c>
      <c r="I57" s="81">
        <v>192</v>
      </c>
      <c r="K57" s="82">
        <v>60</v>
      </c>
      <c r="N57" s="96" t="s">
        <v>120</v>
      </c>
      <c r="O57" s="98">
        <v>234.5</v>
      </c>
      <c r="P57" s="97">
        <v>226</v>
      </c>
      <c r="Q57" s="99"/>
      <c r="R57" s="106">
        <v>1600</v>
      </c>
    </row>
    <row r="58" spans="4:29" x14ac:dyDescent="0.25">
      <c r="D58" s="83">
        <v>70</v>
      </c>
      <c r="E58" s="39">
        <v>179</v>
      </c>
      <c r="F58" s="39">
        <v>164</v>
      </c>
      <c r="G58" s="39">
        <v>222</v>
      </c>
      <c r="H58" s="39">
        <v>194</v>
      </c>
      <c r="I58" s="81">
        <v>246</v>
      </c>
      <c r="N58" s="17" t="s">
        <v>122</v>
      </c>
      <c r="O58" s="21">
        <v>228</v>
      </c>
      <c r="P58" s="18">
        <v>148</v>
      </c>
    </row>
    <row r="59" spans="4:29" x14ac:dyDescent="0.25">
      <c r="D59" s="83">
        <v>95</v>
      </c>
      <c r="E59" s="39">
        <v>216</v>
      </c>
      <c r="F59" s="39">
        <v>197</v>
      </c>
      <c r="G59" s="39">
        <v>269</v>
      </c>
      <c r="H59" s="39">
        <v>233</v>
      </c>
      <c r="I59" s="81">
        <v>298</v>
      </c>
      <c r="N59" s="17" t="s">
        <v>183</v>
      </c>
      <c r="O59" s="21">
        <v>202</v>
      </c>
      <c r="P59" s="18">
        <v>78</v>
      </c>
    </row>
    <row r="60" spans="4:29" x14ac:dyDescent="0.25">
      <c r="D60" s="83">
        <v>120</v>
      </c>
      <c r="E60" s="39">
        <v>249</v>
      </c>
      <c r="F60" s="39">
        <v>227</v>
      </c>
      <c r="G60" s="39">
        <v>312</v>
      </c>
      <c r="H60" s="39">
        <v>268</v>
      </c>
      <c r="I60" s="81">
        <v>346</v>
      </c>
      <c r="K60" s="96" t="s">
        <v>154</v>
      </c>
      <c r="L60" s="98"/>
      <c r="M60" s="98"/>
      <c r="N60" s="98"/>
      <c r="O60" s="98"/>
      <c r="P60" s="97"/>
    </row>
    <row r="61" spans="4:29" x14ac:dyDescent="0.25">
      <c r="D61" s="84">
        <v>150</v>
      </c>
      <c r="E61" s="39">
        <v>285</v>
      </c>
      <c r="F61" s="39">
        <v>259</v>
      </c>
      <c r="G61" s="39">
        <v>371</v>
      </c>
      <c r="H61" s="39" t="s">
        <v>121</v>
      </c>
      <c r="I61" s="81">
        <v>399</v>
      </c>
      <c r="K61" s="17" t="s">
        <v>155</v>
      </c>
      <c r="L61" s="21" t="s">
        <v>156</v>
      </c>
      <c r="M61" s="21" t="s">
        <v>158</v>
      </c>
      <c r="N61" s="21" t="s">
        <v>159</v>
      </c>
      <c r="O61" s="21" t="s">
        <v>160</v>
      </c>
      <c r="P61" s="18" t="s">
        <v>161</v>
      </c>
    </row>
    <row r="62" spans="4:29" x14ac:dyDescent="0.25">
      <c r="D62" s="85">
        <v>185</v>
      </c>
      <c r="E62" s="39">
        <v>324</v>
      </c>
      <c r="F62" s="39">
        <v>295</v>
      </c>
      <c r="G62" s="39">
        <v>424</v>
      </c>
      <c r="H62" s="39" t="s">
        <v>121</v>
      </c>
      <c r="I62" s="81">
        <v>456</v>
      </c>
      <c r="K62" s="144">
        <v>0.5</v>
      </c>
      <c r="L62" s="115">
        <v>0.05</v>
      </c>
      <c r="M62" s="115">
        <v>0.5</v>
      </c>
      <c r="N62" s="115">
        <v>0.04</v>
      </c>
      <c r="O62" s="115">
        <v>0.5</v>
      </c>
      <c r="P62" s="145">
        <v>0.04</v>
      </c>
      <c r="R62" s="96" t="s">
        <v>173</v>
      </c>
      <c r="S62" s="98"/>
      <c r="T62" s="97" t="s">
        <v>176</v>
      </c>
      <c r="W62" t="s">
        <v>194</v>
      </c>
      <c r="X62" s="289" t="s">
        <v>192</v>
      </c>
      <c r="Y62" s="306"/>
      <c r="Z62" s="290"/>
      <c r="AA62" t="s">
        <v>195</v>
      </c>
      <c r="AC62" t="s">
        <v>209</v>
      </c>
    </row>
    <row r="63" spans="4:29" x14ac:dyDescent="0.25">
      <c r="D63" s="85">
        <v>240</v>
      </c>
      <c r="E63" s="39">
        <v>380</v>
      </c>
      <c r="F63" s="39">
        <v>346</v>
      </c>
      <c r="G63" s="39">
        <v>500</v>
      </c>
      <c r="H63" s="39" t="s">
        <v>121</v>
      </c>
      <c r="I63" s="81">
        <v>538</v>
      </c>
      <c r="K63" s="144">
        <v>0.6</v>
      </c>
      <c r="L63" s="115">
        <v>0.1</v>
      </c>
      <c r="M63" s="115">
        <v>1</v>
      </c>
      <c r="N63" s="115">
        <v>0.08</v>
      </c>
      <c r="O63" s="115">
        <v>1</v>
      </c>
      <c r="P63" s="145">
        <v>0.08</v>
      </c>
      <c r="R63" s="144">
        <v>10</v>
      </c>
      <c r="S63" s="21"/>
      <c r="T63" s="145">
        <v>1000</v>
      </c>
      <c r="W63" t="s">
        <v>107</v>
      </c>
      <c r="X63" s="17" t="s">
        <v>193</v>
      </c>
      <c r="Y63" s="21" t="s">
        <v>107</v>
      </c>
      <c r="Z63" s="18" t="s">
        <v>123</v>
      </c>
      <c r="AA63">
        <v>1</v>
      </c>
      <c r="AC63" t="s">
        <v>120</v>
      </c>
    </row>
    <row r="64" spans="4:29" ht="15.75" thickBot="1" x14ac:dyDescent="0.3">
      <c r="D64" s="86">
        <v>300</v>
      </c>
      <c r="E64" s="52">
        <v>435</v>
      </c>
      <c r="F64" s="52">
        <v>396</v>
      </c>
      <c r="G64" s="52">
        <v>570</v>
      </c>
      <c r="H64" s="52" t="s">
        <v>121</v>
      </c>
      <c r="I64" s="87">
        <v>621</v>
      </c>
      <c r="K64" s="144">
        <v>0.7</v>
      </c>
      <c r="L64" s="115">
        <v>0.15</v>
      </c>
      <c r="M64" s="115">
        <v>1.5</v>
      </c>
      <c r="N64" s="115">
        <v>0.12</v>
      </c>
      <c r="O64" s="115">
        <v>1.5</v>
      </c>
      <c r="P64" s="145">
        <v>0.12</v>
      </c>
      <c r="R64" s="144">
        <v>15</v>
      </c>
      <c r="S64" s="21"/>
      <c r="T64" s="145">
        <v>2000</v>
      </c>
      <c r="W64" t="s">
        <v>123</v>
      </c>
      <c r="X64" s="17">
        <v>10</v>
      </c>
      <c r="Y64" s="21">
        <v>1.22</v>
      </c>
      <c r="Z64" s="18">
        <v>1.1499999999999999</v>
      </c>
      <c r="AA64" s="29">
        <v>2</v>
      </c>
      <c r="AC64" t="s">
        <v>122</v>
      </c>
    </row>
    <row r="65" spans="1:33" x14ac:dyDescent="0.25">
      <c r="D65" s="88" t="s">
        <v>122</v>
      </c>
      <c r="E65" s="89"/>
      <c r="F65" s="291"/>
      <c r="G65" s="307"/>
      <c r="H65" s="307"/>
      <c r="I65" s="307"/>
      <c r="J65" s="307"/>
      <c r="K65" s="144">
        <v>0.8</v>
      </c>
      <c r="L65" s="115">
        <v>0.2</v>
      </c>
      <c r="M65" s="115">
        <v>2</v>
      </c>
      <c r="N65" s="115">
        <v>0.16</v>
      </c>
      <c r="O65" s="115">
        <v>2</v>
      </c>
      <c r="P65" s="145">
        <v>0.16</v>
      </c>
      <c r="R65" s="144">
        <v>20</v>
      </c>
      <c r="S65" s="21"/>
      <c r="T65" s="145">
        <v>2500</v>
      </c>
      <c r="X65" s="17">
        <v>15</v>
      </c>
      <c r="Y65" s="21">
        <v>1.17</v>
      </c>
      <c r="Z65" s="18">
        <v>1.1200000000000001</v>
      </c>
      <c r="AA65" s="29">
        <v>3</v>
      </c>
    </row>
    <row r="66" spans="1:33" x14ac:dyDescent="0.25">
      <c r="D66" s="90">
        <v>16</v>
      </c>
      <c r="E66" s="39">
        <v>58</v>
      </c>
      <c r="F66" s="39">
        <v>55</v>
      </c>
      <c r="G66" s="39">
        <v>71</v>
      </c>
      <c r="H66" s="39">
        <v>64</v>
      </c>
      <c r="I66" s="81">
        <v>77</v>
      </c>
      <c r="K66" s="144">
        <v>0.9</v>
      </c>
      <c r="L66" s="115">
        <v>0.25</v>
      </c>
      <c r="M66" s="115">
        <v>2.5</v>
      </c>
      <c r="N66" s="115">
        <v>0.2</v>
      </c>
      <c r="O66" s="115">
        <v>2.5</v>
      </c>
      <c r="P66" s="145">
        <v>0.2</v>
      </c>
      <c r="R66" s="144">
        <v>25</v>
      </c>
      <c r="S66" s="21"/>
      <c r="T66" s="145">
        <v>3000</v>
      </c>
      <c r="V66" s="3" t="s">
        <v>111</v>
      </c>
      <c r="X66" s="17">
        <v>20</v>
      </c>
      <c r="Y66" s="21">
        <v>1.1200000000000001</v>
      </c>
      <c r="Z66" s="18">
        <v>1.08</v>
      </c>
      <c r="AA66" s="29">
        <v>4</v>
      </c>
    </row>
    <row r="67" spans="1:33" x14ac:dyDescent="0.25">
      <c r="D67" s="90">
        <v>25</v>
      </c>
      <c r="E67" s="39">
        <v>76</v>
      </c>
      <c r="F67" s="39">
        <v>71</v>
      </c>
      <c r="G67" s="39">
        <v>93</v>
      </c>
      <c r="H67" s="39">
        <v>84</v>
      </c>
      <c r="I67" s="81">
        <v>97</v>
      </c>
      <c r="K67" s="144">
        <v>1</v>
      </c>
      <c r="L67" s="115">
        <v>0.3</v>
      </c>
      <c r="M67" s="115">
        <v>3</v>
      </c>
      <c r="N67" s="115">
        <v>0.24</v>
      </c>
      <c r="O67" s="115">
        <v>3</v>
      </c>
      <c r="P67" s="145">
        <v>0.24</v>
      </c>
      <c r="R67" s="144">
        <v>30</v>
      </c>
      <c r="S67" s="21"/>
      <c r="T67" s="145">
        <v>3300</v>
      </c>
      <c r="V67" s="46" t="s">
        <v>114</v>
      </c>
      <c r="X67" s="17">
        <v>25</v>
      </c>
      <c r="Y67" s="21">
        <v>1.06</v>
      </c>
      <c r="Z67" s="18">
        <v>1.04</v>
      </c>
      <c r="AA67" s="29">
        <v>6</v>
      </c>
    </row>
    <row r="68" spans="1:33" x14ac:dyDescent="0.25">
      <c r="D68" s="90">
        <v>35</v>
      </c>
      <c r="E68" s="39">
        <v>94</v>
      </c>
      <c r="F68" s="39">
        <v>87</v>
      </c>
      <c r="G68" s="39">
        <v>116</v>
      </c>
      <c r="H68" s="39">
        <v>103</v>
      </c>
      <c r="I68" s="81">
        <v>120</v>
      </c>
      <c r="K68" s="144">
        <v>1.1000000000000001</v>
      </c>
      <c r="L68" s="115">
        <v>0.35</v>
      </c>
      <c r="M68" s="115">
        <v>3.5</v>
      </c>
      <c r="N68" s="115">
        <v>0.28000000000000003</v>
      </c>
      <c r="O68" s="115">
        <v>3.5</v>
      </c>
      <c r="P68" s="145">
        <v>0.28000000000000003</v>
      </c>
      <c r="R68" s="144">
        <v>40</v>
      </c>
      <c r="S68" s="21"/>
      <c r="T68" s="145">
        <v>5000</v>
      </c>
      <c r="V68" s="46">
        <v>1</v>
      </c>
      <c r="X68" s="17">
        <v>35</v>
      </c>
      <c r="Y68" s="21">
        <v>0.94</v>
      </c>
      <c r="Z68" s="18">
        <v>0.96</v>
      </c>
      <c r="AA68" s="29">
        <v>9</v>
      </c>
    </row>
    <row r="69" spans="1:33" x14ac:dyDescent="0.25">
      <c r="D69" s="90">
        <v>50</v>
      </c>
      <c r="E69" s="39">
        <v>113</v>
      </c>
      <c r="F69" s="39">
        <v>104</v>
      </c>
      <c r="G69" s="39">
        <v>140</v>
      </c>
      <c r="H69" s="39">
        <v>124</v>
      </c>
      <c r="I69" s="81">
        <v>146</v>
      </c>
      <c r="K69" s="144">
        <v>1.2</v>
      </c>
      <c r="L69" s="115">
        <v>0.4</v>
      </c>
      <c r="M69" s="115">
        <v>4</v>
      </c>
      <c r="N69" s="115">
        <v>0.32</v>
      </c>
      <c r="O69" s="115">
        <v>4</v>
      </c>
      <c r="P69" s="145">
        <v>0.32</v>
      </c>
      <c r="R69" s="144">
        <v>50</v>
      </c>
      <c r="S69" s="21"/>
      <c r="T69" s="145">
        <v>5500</v>
      </c>
      <c r="V69" s="46">
        <v>2</v>
      </c>
      <c r="X69" s="17">
        <v>40</v>
      </c>
      <c r="Y69" s="21">
        <v>0.87</v>
      </c>
      <c r="Z69" s="18">
        <v>0.91</v>
      </c>
      <c r="AA69" s="29">
        <v>12</v>
      </c>
    </row>
    <row r="70" spans="1:33" x14ac:dyDescent="0.25">
      <c r="D70" s="90">
        <v>70</v>
      </c>
      <c r="E70" s="39">
        <v>142</v>
      </c>
      <c r="F70" s="39">
        <v>131</v>
      </c>
      <c r="G70" s="39">
        <v>179</v>
      </c>
      <c r="H70" s="39">
        <v>156</v>
      </c>
      <c r="I70" s="81">
        <v>187</v>
      </c>
      <c r="K70" s="144">
        <v>1.3</v>
      </c>
      <c r="L70" s="115">
        <v>0.45</v>
      </c>
      <c r="M70" s="115">
        <v>4.5</v>
      </c>
      <c r="N70" s="115">
        <v>0.36</v>
      </c>
      <c r="O70" s="115">
        <v>4.5</v>
      </c>
      <c r="P70" s="145">
        <v>0.36</v>
      </c>
      <c r="R70" s="144">
        <v>60</v>
      </c>
      <c r="S70" s="21"/>
      <c r="T70" s="145">
        <v>6000</v>
      </c>
      <c r="V70" s="46">
        <v>3</v>
      </c>
      <c r="X70" s="17">
        <v>45</v>
      </c>
      <c r="Y70" s="21">
        <v>0.79</v>
      </c>
      <c r="Z70" s="18">
        <v>0.87</v>
      </c>
      <c r="AA70" s="29">
        <v>16</v>
      </c>
    </row>
    <row r="71" spans="1:33" x14ac:dyDescent="0.25">
      <c r="D71" s="90">
        <v>95</v>
      </c>
      <c r="E71" s="39">
        <v>171</v>
      </c>
      <c r="F71" s="39">
        <v>157</v>
      </c>
      <c r="G71" s="39">
        <v>217</v>
      </c>
      <c r="H71" s="39">
        <v>188</v>
      </c>
      <c r="I71" s="81">
        <v>227</v>
      </c>
      <c r="K71" s="144">
        <v>1.4</v>
      </c>
      <c r="L71" s="115">
        <v>0.5</v>
      </c>
      <c r="M71" s="115">
        <v>5</v>
      </c>
      <c r="N71" s="115">
        <v>0.4</v>
      </c>
      <c r="O71" s="115">
        <v>5</v>
      </c>
      <c r="P71" s="145">
        <v>0.4</v>
      </c>
      <c r="R71" s="144">
        <v>75</v>
      </c>
      <c r="S71" s="21"/>
      <c r="T71" s="145">
        <v>6300</v>
      </c>
      <c r="V71" s="46">
        <v>4</v>
      </c>
      <c r="X71" s="17">
        <v>50</v>
      </c>
      <c r="Y71" s="21">
        <v>0.71</v>
      </c>
      <c r="Z71" s="18">
        <v>0.82</v>
      </c>
      <c r="AA71" s="29">
        <v>20</v>
      </c>
    </row>
    <row r="72" spans="1:33" x14ac:dyDescent="0.25">
      <c r="D72" s="90">
        <v>120</v>
      </c>
      <c r="E72" s="39">
        <v>197</v>
      </c>
      <c r="F72" s="39">
        <v>180</v>
      </c>
      <c r="G72" s="39">
        <v>251</v>
      </c>
      <c r="H72" s="39">
        <v>216</v>
      </c>
      <c r="I72" s="81">
        <v>263</v>
      </c>
      <c r="K72" s="144">
        <v>1.5</v>
      </c>
      <c r="L72" s="115">
        <v>0.55000000000000004</v>
      </c>
      <c r="M72" s="115">
        <v>5.5</v>
      </c>
      <c r="N72" s="115">
        <v>0.44</v>
      </c>
      <c r="O72" s="115">
        <v>5.5</v>
      </c>
      <c r="P72" s="145">
        <v>0.44</v>
      </c>
      <c r="R72" s="144">
        <v>100</v>
      </c>
      <c r="S72" s="21"/>
      <c r="T72" s="145">
        <v>6600</v>
      </c>
      <c r="V72" s="46">
        <v>5</v>
      </c>
      <c r="X72" s="17">
        <v>55</v>
      </c>
      <c r="Y72" s="21">
        <v>0.61</v>
      </c>
      <c r="Z72" s="18">
        <v>0.76</v>
      </c>
    </row>
    <row r="73" spans="1:33" x14ac:dyDescent="0.25">
      <c r="D73" s="90">
        <v>150</v>
      </c>
      <c r="E73" s="39">
        <v>226</v>
      </c>
      <c r="F73" s="39">
        <v>206</v>
      </c>
      <c r="G73" s="39">
        <v>283</v>
      </c>
      <c r="H73" s="39" t="s">
        <v>121</v>
      </c>
      <c r="I73" s="81">
        <v>304</v>
      </c>
      <c r="K73" s="144">
        <v>1.6</v>
      </c>
      <c r="L73" s="115">
        <v>0.6</v>
      </c>
      <c r="M73" s="115">
        <v>6</v>
      </c>
      <c r="N73" s="115">
        <v>0.48</v>
      </c>
      <c r="O73" s="115">
        <v>6</v>
      </c>
      <c r="P73" s="145">
        <v>0.48</v>
      </c>
      <c r="R73" s="144">
        <v>150</v>
      </c>
      <c r="S73" s="21"/>
      <c r="T73" s="145">
        <v>10000</v>
      </c>
      <c r="V73" s="46">
        <v>6</v>
      </c>
      <c r="X73" s="19">
        <v>60</v>
      </c>
      <c r="Y73" s="99">
        <v>0.5</v>
      </c>
      <c r="Z73" s="20">
        <v>0.71</v>
      </c>
    </row>
    <row r="74" spans="1:33" x14ac:dyDescent="0.25">
      <c r="D74" s="90">
        <v>185</v>
      </c>
      <c r="E74" s="39">
        <v>256</v>
      </c>
      <c r="F74" s="39">
        <v>233</v>
      </c>
      <c r="G74" s="39">
        <v>323</v>
      </c>
      <c r="H74" s="39" t="s">
        <v>121</v>
      </c>
      <c r="I74" s="81">
        <v>347</v>
      </c>
      <c r="K74" s="144">
        <v>1.7</v>
      </c>
      <c r="L74" s="115">
        <v>0.65</v>
      </c>
      <c r="M74" s="115">
        <v>6.5</v>
      </c>
      <c r="N74" s="115">
        <v>0.52</v>
      </c>
      <c r="O74" s="115">
        <v>6.5</v>
      </c>
      <c r="P74" s="145">
        <v>0.52</v>
      </c>
      <c r="R74" s="144">
        <v>200</v>
      </c>
      <c r="S74" s="21"/>
      <c r="T74" s="145">
        <v>10500</v>
      </c>
      <c r="V74" s="46">
        <v>7</v>
      </c>
    </row>
    <row r="75" spans="1:33" x14ac:dyDescent="0.25">
      <c r="D75" s="90">
        <v>240</v>
      </c>
      <c r="E75" s="39">
        <v>300</v>
      </c>
      <c r="F75" s="39">
        <v>273</v>
      </c>
      <c r="G75" s="39">
        <v>382</v>
      </c>
      <c r="H75" s="39" t="s">
        <v>121</v>
      </c>
      <c r="I75" s="81">
        <v>409</v>
      </c>
      <c r="K75" s="144">
        <v>1.8</v>
      </c>
      <c r="L75" s="115">
        <v>0.7</v>
      </c>
      <c r="M75" s="115">
        <v>7</v>
      </c>
      <c r="N75" s="115">
        <v>0.56000000000000005</v>
      </c>
      <c r="O75" s="115">
        <v>7</v>
      </c>
      <c r="P75" s="145">
        <v>0.56000000000000005</v>
      </c>
      <c r="R75" s="144">
        <v>250</v>
      </c>
      <c r="S75" s="21"/>
      <c r="T75" s="145">
        <v>11000</v>
      </c>
      <c r="V75" s="46">
        <v>8</v>
      </c>
      <c r="X75" s="289" t="s">
        <v>196</v>
      </c>
      <c r="Y75" s="306"/>
      <c r="Z75" s="306"/>
      <c r="AA75" s="306"/>
      <c r="AB75" s="306"/>
      <c r="AC75" s="306"/>
      <c r="AD75" s="306"/>
      <c r="AE75" s="306"/>
      <c r="AF75" s="306"/>
      <c r="AG75" s="290"/>
    </row>
    <row r="76" spans="1:33" ht="15.75" thickBot="1" x14ac:dyDescent="0.3">
      <c r="D76" s="91">
        <v>300</v>
      </c>
      <c r="E76" s="92">
        <v>344</v>
      </c>
      <c r="F76" s="92">
        <v>313</v>
      </c>
      <c r="G76" s="92">
        <v>440</v>
      </c>
      <c r="H76" s="92" t="s">
        <v>121</v>
      </c>
      <c r="I76" s="93">
        <v>471</v>
      </c>
      <c r="K76" s="144">
        <v>1.9</v>
      </c>
      <c r="L76" s="115">
        <v>0.75</v>
      </c>
      <c r="M76" s="115">
        <v>7.5</v>
      </c>
      <c r="N76" s="115">
        <v>0.6</v>
      </c>
      <c r="O76" s="115">
        <v>7.5</v>
      </c>
      <c r="P76" s="145">
        <v>0.6</v>
      </c>
      <c r="R76" s="144">
        <v>300</v>
      </c>
      <c r="S76" s="21"/>
      <c r="T76" s="145">
        <v>12000</v>
      </c>
      <c r="V76" s="46">
        <v>9</v>
      </c>
      <c r="X76" s="17" t="s">
        <v>197</v>
      </c>
      <c r="Y76" s="307" t="s">
        <v>198</v>
      </c>
      <c r="Z76" s="307"/>
      <c r="AA76" s="307"/>
      <c r="AB76" s="307"/>
      <c r="AC76" s="307"/>
      <c r="AD76" s="307"/>
      <c r="AE76" s="307"/>
      <c r="AF76" s="307"/>
      <c r="AG76" s="292"/>
    </row>
    <row r="77" spans="1:33" ht="15.75" thickTop="1" x14ac:dyDescent="0.25">
      <c r="K77" s="144">
        <v>2</v>
      </c>
      <c r="L77" s="115">
        <v>0.8</v>
      </c>
      <c r="M77" s="115">
        <v>8</v>
      </c>
      <c r="N77" s="115">
        <v>0.64</v>
      </c>
      <c r="O77" s="115">
        <v>8</v>
      </c>
      <c r="P77" s="145">
        <v>0.64</v>
      </c>
      <c r="R77" s="144">
        <v>400</v>
      </c>
      <c r="S77" s="21"/>
      <c r="T77" s="145">
        <v>12500</v>
      </c>
      <c r="V77" s="46">
        <v>10</v>
      </c>
      <c r="X77" s="3" t="s">
        <v>204</v>
      </c>
      <c r="Y77" s="21">
        <v>1</v>
      </c>
      <c r="Z77" s="21">
        <v>2</v>
      </c>
      <c r="AA77" s="21">
        <v>3</v>
      </c>
      <c r="AB77" s="21">
        <v>4</v>
      </c>
      <c r="AC77" s="21">
        <v>6</v>
      </c>
      <c r="AD77" s="21">
        <v>9</v>
      </c>
      <c r="AE77" s="21">
        <v>12</v>
      </c>
      <c r="AF77" s="21">
        <v>16</v>
      </c>
      <c r="AG77" s="18">
        <v>20</v>
      </c>
    </row>
    <row r="78" spans="1:33" x14ac:dyDescent="0.25">
      <c r="A78" t="s">
        <v>153</v>
      </c>
      <c r="K78" s="144">
        <v>2.1</v>
      </c>
      <c r="L78" s="115">
        <v>0.85</v>
      </c>
      <c r="M78" s="115">
        <v>8.5</v>
      </c>
      <c r="N78" s="115">
        <v>0.68</v>
      </c>
      <c r="O78" s="115">
        <v>8.5</v>
      </c>
      <c r="P78" s="145">
        <v>0.68</v>
      </c>
      <c r="R78" s="144">
        <v>500</v>
      </c>
      <c r="S78" s="21"/>
      <c r="T78" s="145">
        <v>13000</v>
      </c>
      <c r="V78" s="46">
        <v>11</v>
      </c>
      <c r="X78" s="17" t="s">
        <v>199</v>
      </c>
      <c r="Y78" s="21">
        <v>1</v>
      </c>
      <c r="Z78" s="21">
        <v>0.8</v>
      </c>
      <c r="AA78" s="21">
        <v>0.7</v>
      </c>
      <c r="AB78" s="21">
        <v>0.7</v>
      </c>
      <c r="AC78" s="21">
        <v>0.55000000000000004</v>
      </c>
      <c r="AD78" s="21">
        <v>0.5</v>
      </c>
      <c r="AE78" s="21">
        <v>0.45</v>
      </c>
      <c r="AF78" s="21">
        <v>0.4</v>
      </c>
      <c r="AG78" s="18">
        <v>0.4</v>
      </c>
    </row>
    <row r="79" spans="1:33" x14ac:dyDescent="0.25">
      <c r="A79">
        <v>50</v>
      </c>
      <c r="K79" s="144">
        <v>2.2000000000000002</v>
      </c>
      <c r="L79" s="115">
        <v>0.9</v>
      </c>
      <c r="M79" s="115">
        <v>9</v>
      </c>
      <c r="N79" s="115">
        <v>0.72</v>
      </c>
      <c r="O79" s="115">
        <v>9</v>
      </c>
      <c r="P79" s="145">
        <v>0.72</v>
      </c>
      <c r="R79" s="144">
        <v>600</v>
      </c>
      <c r="S79" s="21"/>
      <c r="T79" s="145">
        <v>13300</v>
      </c>
      <c r="V79" s="46">
        <v>12</v>
      </c>
      <c r="X79" s="17" t="s">
        <v>200</v>
      </c>
      <c r="Y79" s="21">
        <v>1</v>
      </c>
      <c r="Z79" s="21">
        <v>0.85</v>
      </c>
      <c r="AA79" s="21">
        <v>0.8</v>
      </c>
      <c r="AB79" s="21">
        <v>0.75</v>
      </c>
      <c r="AC79" s="21">
        <v>0.7</v>
      </c>
      <c r="AD79" s="21">
        <v>0.7</v>
      </c>
      <c r="AE79" s="21">
        <v>0.7</v>
      </c>
      <c r="AF79" s="21">
        <v>0.7</v>
      </c>
      <c r="AG79" s="18">
        <v>0.7</v>
      </c>
    </row>
    <row r="80" spans="1:33" x14ac:dyDescent="0.25">
      <c r="K80" s="144">
        <v>2.2999999999999998</v>
      </c>
      <c r="L80" s="115">
        <v>0.95</v>
      </c>
      <c r="M80" s="115">
        <v>9.5</v>
      </c>
      <c r="N80" s="115">
        <v>0.76</v>
      </c>
      <c r="O80" s="115">
        <v>9.5</v>
      </c>
      <c r="P80" s="145">
        <v>0.76</v>
      </c>
      <c r="R80" s="144">
        <v>700</v>
      </c>
      <c r="S80" s="21"/>
      <c r="T80" s="145">
        <v>13800</v>
      </c>
      <c r="V80" s="46">
        <v>13</v>
      </c>
      <c r="X80" s="17" t="s">
        <v>201</v>
      </c>
      <c r="Y80" s="21">
        <v>0.95</v>
      </c>
      <c r="Z80" s="21">
        <v>0.8</v>
      </c>
      <c r="AA80" s="21">
        <v>0.7</v>
      </c>
      <c r="AB80" s="21">
        <v>0.7</v>
      </c>
      <c r="AC80" s="21">
        <v>0.65</v>
      </c>
      <c r="AD80" s="21">
        <v>0.6</v>
      </c>
      <c r="AE80" s="21">
        <v>0.6</v>
      </c>
      <c r="AF80" s="21">
        <v>0.6</v>
      </c>
      <c r="AG80" s="18">
        <v>0.6</v>
      </c>
    </row>
    <row r="81" spans="11:42" x14ac:dyDescent="0.25">
      <c r="K81" s="144">
        <v>2.4</v>
      </c>
      <c r="L81" s="115">
        <v>1</v>
      </c>
      <c r="M81" s="115">
        <v>10</v>
      </c>
      <c r="N81" s="115">
        <v>0.8</v>
      </c>
      <c r="O81" s="115">
        <v>10</v>
      </c>
      <c r="P81" s="145">
        <v>0.8</v>
      </c>
      <c r="R81" s="144">
        <v>800</v>
      </c>
      <c r="S81" s="21"/>
      <c r="T81" s="145">
        <v>14000</v>
      </c>
      <c r="V81" s="46">
        <v>14</v>
      </c>
      <c r="X81" s="17" t="s">
        <v>202</v>
      </c>
      <c r="Y81" s="21">
        <v>1</v>
      </c>
      <c r="Z81" s="21">
        <v>0.9</v>
      </c>
      <c r="AA81" s="21">
        <v>0.8</v>
      </c>
      <c r="AB81" s="21">
        <v>0.75</v>
      </c>
      <c r="AC81" s="21">
        <v>0.75</v>
      </c>
      <c r="AD81" s="21">
        <v>0.7</v>
      </c>
      <c r="AE81" s="21">
        <v>0.7</v>
      </c>
      <c r="AF81" s="21">
        <v>0.7</v>
      </c>
      <c r="AG81" s="18">
        <v>0.7</v>
      </c>
    </row>
    <row r="82" spans="11:42" x14ac:dyDescent="0.25">
      <c r="K82" s="144">
        <v>2.5</v>
      </c>
      <c r="L82" s="115">
        <v>1.05</v>
      </c>
      <c r="M82" s="115">
        <v>10.5</v>
      </c>
      <c r="N82" s="115">
        <v>0.84</v>
      </c>
      <c r="O82" s="115">
        <v>10.5</v>
      </c>
      <c r="P82" s="145">
        <v>0.84</v>
      </c>
      <c r="R82" s="144">
        <v>1000</v>
      </c>
      <c r="S82" s="21"/>
      <c r="T82" s="145">
        <v>15000</v>
      </c>
      <c r="V82" s="46">
        <v>15</v>
      </c>
      <c r="X82" s="19" t="s">
        <v>203</v>
      </c>
      <c r="Y82" s="99">
        <v>1</v>
      </c>
      <c r="Z82" s="99">
        <v>0.85</v>
      </c>
      <c r="AA82" s="99">
        <v>0.8</v>
      </c>
      <c r="AB82" s="99">
        <v>0.8</v>
      </c>
      <c r="AC82" s="99">
        <v>0.8</v>
      </c>
      <c r="AD82" s="99">
        <v>0.8</v>
      </c>
      <c r="AE82" s="99">
        <v>0.8</v>
      </c>
      <c r="AF82" s="99">
        <v>0.8</v>
      </c>
      <c r="AG82" s="20">
        <v>0.8</v>
      </c>
    </row>
    <row r="83" spans="11:42" x14ac:dyDescent="0.25">
      <c r="K83" s="144">
        <v>2.6</v>
      </c>
      <c r="L83" s="115">
        <v>1.1000000000000001</v>
      </c>
      <c r="M83" s="115">
        <v>11</v>
      </c>
      <c r="N83" s="115">
        <v>0.88</v>
      </c>
      <c r="O83" s="115">
        <v>11</v>
      </c>
      <c r="P83" s="145">
        <v>0.88</v>
      </c>
      <c r="R83" s="144">
        <v>1250</v>
      </c>
      <c r="S83" s="21"/>
      <c r="T83" s="145">
        <v>16000</v>
      </c>
      <c r="V83" s="46">
        <v>16</v>
      </c>
    </row>
    <row r="84" spans="11:42" x14ac:dyDescent="0.25">
      <c r="K84" s="144">
        <v>2.7</v>
      </c>
      <c r="L84" s="115">
        <v>1.1499999999999999</v>
      </c>
      <c r="M84" s="115">
        <v>11.5</v>
      </c>
      <c r="N84" s="115">
        <v>0.92</v>
      </c>
      <c r="O84" s="115">
        <v>11.5</v>
      </c>
      <c r="P84" s="145">
        <v>0.92</v>
      </c>
      <c r="R84" s="144">
        <v>1500</v>
      </c>
      <c r="S84" s="21"/>
      <c r="T84" s="145">
        <v>17500</v>
      </c>
      <c r="V84" s="46">
        <v>17</v>
      </c>
      <c r="X84" s="3">
        <v>0</v>
      </c>
      <c r="Y84" s="96"/>
      <c r="Z84" s="98" t="s">
        <v>335</v>
      </c>
      <c r="AA84" s="98" t="s">
        <v>336</v>
      </c>
      <c r="AB84" s="97" t="s">
        <v>123</v>
      </c>
    </row>
    <row r="85" spans="11:42" x14ac:dyDescent="0.25">
      <c r="K85" s="144">
        <v>2.8</v>
      </c>
      <c r="L85" s="115">
        <v>1.2</v>
      </c>
      <c r="M85" s="115">
        <v>12</v>
      </c>
      <c r="N85" s="115">
        <v>0.96</v>
      </c>
      <c r="O85" s="115">
        <v>12</v>
      </c>
      <c r="P85" s="145">
        <v>0.96</v>
      </c>
      <c r="R85" s="144">
        <v>1750</v>
      </c>
      <c r="S85" s="21"/>
      <c r="T85" s="145">
        <v>20000</v>
      </c>
      <c r="V85" s="46">
        <v>18</v>
      </c>
      <c r="X85" s="46">
        <v>1</v>
      </c>
      <c r="Y85" s="17" t="s">
        <v>236</v>
      </c>
      <c r="Z85" s="21">
        <v>115</v>
      </c>
      <c r="AA85" s="21">
        <v>103</v>
      </c>
      <c r="AB85" s="18">
        <v>143</v>
      </c>
    </row>
    <row r="86" spans="11:42" x14ac:dyDescent="0.25">
      <c r="K86" s="144">
        <v>2.9</v>
      </c>
      <c r="L86" s="115">
        <v>1.25</v>
      </c>
      <c r="M86" s="115">
        <v>12.5</v>
      </c>
      <c r="N86" s="115">
        <v>1</v>
      </c>
      <c r="O86" s="115">
        <v>12.5</v>
      </c>
      <c r="P86" s="145">
        <v>1</v>
      </c>
      <c r="R86" s="144">
        <v>2000</v>
      </c>
      <c r="S86" s="21"/>
      <c r="T86" s="145">
        <v>22000</v>
      </c>
      <c r="V86" s="46">
        <v>20</v>
      </c>
      <c r="X86" s="46">
        <v>2</v>
      </c>
      <c r="Y86" s="19" t="s">
        <v>228</v>
      </c>
      <c r="Z86" s="99">
        <v>76</v>
      </c>
      <c r="AA86" s="99">
        <v>68</v>
      </c>
      <c r="AB86" s="20">
        <v>94</v>
      </c>
    </row>
    <row r="87" spans="11:42" x14ac:dyDescent="0.25">
      <c r="K87" s="144">
        <v>3</v>
      </c>
      <c r="L87" s="115">
        <v>1.3</v>
      </c>
      <c r="M87" s="115">
        <v>13</v>
      </c>
      <c r="N87" s="115">
        <v>1.04</v>
      </c>
      <c r="O87" s="115">
        <v>13</v>
      </c>
      <c r="P87" s="145">
        <v>1.04</v>
      </c>
      <c r="R87" s="144">
        <v>2500</v>
      </c>
      <c r="S87" s="21"/>
      <c r="T87" s="18"/>
      <c r="V87" s="46">
        <v>21</v>
      </c>
      <c r="X87" s="46">
        <v>3</v>
      </c>
    </row>
    <row r="88" spans="11:42" x14ac:dyDescent="0.25">
      <c r="K88" s="144">
        <v>3.1</v>
      </c>
      <c r="L88" s="115">
        <v>1.35</v>
      </c>
      <c r="M88" s="115">
        <v>13.5</v>
      </c>
      <c r="N88" s="115">
        <v>1.08</v>
      </c>
      <c r="O88" s="115">
        <v>13.5</v>
      </c>
      <c r="P88" s="145">
        <v>1.08</v>
      </c>
      <c r="R88" s="147">
        <v>3200</v>
      </c>
      <c r="S88" s="99"/>
      <c r="T88" s="20"/>
      <c r="V88" s="46">
        <v>22</v>
      </c>
      <c r="X88" s="46">
        <v>4</v>
      </c>
    </row>
    <row r="89" spans="11:42" x14ac:dyDescent="0.25">
      <c r="K89" s="144">
        <v>3.2</v>
      </c>
      <c r="L89" s="115">
        <v>1.4</v>
      </c>
      <c r="M89" s="115">
        <v>14</v>
      </c>
      <c r="N89" s="115">
        <v>1.1200000000000001</v>
      </c>
      <c r="O89" s="115">
        <v>14</v>
      </c>
      <c r="P89" s="145">
        <v>1.1200000000000001</v>
      </c>
      <c r="V89" s="46">
        <v>24</v>
      </c>
      <c r="X89" s="46">
        <v>6</v>
      </c>
    </row>
    <row r="90" spans="11:42" x14ac:dyDescent="0.25">
      <c r="K90" s="144">
        <v>3.3</v>
      </c>
      <c r="L90" s="115">
        <v>1.45</v>
      </c>
      <c r="M90" s="115">
        <v>14.5</v>
      </c>
      <c r="N90" s="115">
        <v>1.1599999999999999</v>
      </c>
      <c r="O90" s="115">
        <v>14.5</v>
      </c>
      <c r="P90" s="145">
        <v>1.1599999999999999</v>
      </c>
      <c r="V90" s="46">
        <v>25</v>
      </c>
      <c r="X90" s="46">
        <v>9</v>
      </c>
    </row>
    <row r="91" spans="11:42" x14ac:dyDescent="0.25">
      <c r="K91" s="144">
        <v>3.4</v>
      </c>
      <c r="L91" s="115">
        <v>1.5</v>
      </c>
      <c r="M91" s="115">
        <v>15</v>
      </c>
      <c r="N91" s="115">
        <v>1.2</v>
      </c>
      <c r="O91" s="115">
        <v>15</v>
      </c>
      <c r="P91" s="145">
        <v>1.2</v>
      </c>
      <c r="V91" s="46">
        <v>26</v>
      </c>
      <c r="X91" s="46">
        <v>12</v>
      </c>
    </row>
    <row r="92" spans="11:42" x14ac:dyDescent="0.25">
      <c r="K92" s="144">
        <v>3.5</v>
      </c>
      <c r="L92" s="115">
        <v>1.55</v>
      </c>
      <c r="M92" s="115">
        <v>15.5</v>
      </c>
      <c r="N92" s="115">
        <v>1.24</v>
      </c>
      <c r="O92" s="115">
        <v>15.5</v>
      </c>
      <c r="P92" s="145">
        <v>1.24</v>
      </c>
      <c r="V92" s="46">
        <v>27</v>
      </c>
      <c r="X92" s="46">
        <v>16</v>
      </c>
    </row>
    <row r="93" spans="11:42" x14ac:dyDescent="0.25">
      <c r="K93" s="144">
        <v>3.6</v>
      </c>
      <c r="L93" s="115">
        <v>1.6</v>
      </c>
      <c r="M93" s="115">
        <v>16</v>
      </c>
      <c r="N93" s="115">
        <v>1.28</v>
      </c>
      <c r="O93" s="115">
        <v>16</v>
      </c>
      <c r="P93" s="145">
        <v>1.28</v>
      </c>
      <c r="V93" s="46">
        <v>28</v>
      </c>
      <c r="X93" s="82">
        <v>20</v>
      </c>
    </row>
    <row r="94" spans="11:42" x14ac:dyDescent="0.25">
      <c r="K94" s="144">
        <v>3.7</v>
      </c>
      <c r="L94" s="115">
        <v>1.65</v>
      </c>
      <c r="M94" s="115">
        <v>16.5</v>
      </c>
      <c r="N94" s="115">
        <v>1.32</v>
      </c>
      <c r="O94" s="115">
        <v>16.5</v>
      </c>
      <c r="P94" s="145">
        <v>1.32</v>
      </c>
      <c r="V94" s="46">
        <v>29</v>
      </c>
    </row>
    <row r="95" spans="11:42" x14ac:dyDescent="0.25">
      <c r="K95" s="144">
        <v>3.8</v>
      </c>
      <c r="L95" s="115">
        <v>1.7</v>
      </c>
      <c r="M95" s="115">
        <v>17</v>
      </c>
      <c r="N95" s="115">
        <v>1.36</v>
      </c>
      <c r="O95" s="115">
        <v>17</v>
      </c>
      <c r="P95" s="145">
        <v>1.36</v>
      </c>
      <c r="V95" s="46">
        <v>30</v>
      </c>
      <c r="AG95" t="s">
        <v>285</v>
      </c>
      <c r="AJ95" t="s">
        <v>286</v>
      </c>
      <c r="AL95" t="s">
        <v>287</v>
      </c>
    </row>
    <row r="96" spans="11:42" x14ac:dyDescent="0.25">
      <c r="K96" s="144">
        <v>3.9</v>
      </c>
      <c r="L96" s="115">
        <v>1.75</v>
      </c>
      <c r="M96" s="115">
        <v>17.5</v>
      </c>
      <c r="N96" s="115">
        <v>1.4</v>
      </c>
      <c r="O96" s="115">
        <v>17.5</v>
      </c>
      <c r="P96" s="145">
        <v>1.4</v>
      </c>
      <c r="V96" s="46">
        <v>31</v>
      </c>
      <c r="AG96" s="96" t="s">
        <v>256</v>
      </c>
      <c r="AH96" s="97" t="s">
        <v>257</v>
      </c>
      <c r="AI96" s="98"/>
      <c r="AJ96" s="96" t="s">
        <v>256</v>
      </c>
      <c r="AK96" s="97" t="s">
        <v>257</v>
      </c>
      <c r="AL96" s="21"/>
      <c r="AM96" t="str">
        <f>AA102</f>
        <v>3-leder PEX-M-AL 12kV</v>
      </c>
      <c r="AN96" t="str">
        <f>AA109</f>
        <v>3-leder PEX-S-AL 12kV</v>
      </c>
      <c r="AO96" t="str">
        <f>AA116</f>
        <v>1-leder PEX-M-AL-LT 12kV</v>
      </c>
      <c r="AP96" t="str">
        <f>AG116</f>
        <v>1-leder PEX-Cu 17,5kV</v>
      </c>
    </row>
    <row r="97" spans="11:40" x14ac:dyDescent="0.25">
      <c r="K97" s="144">
        <v>4</v>
      </c>
      <c r="L97" s="115">
        <v>1.8</v>
      </c>
      <c r="M97" s="115">
        <v>18</v>
      </c>
      <c r="N97" s="115">
        <v>1.44</v>
      </c>
      <c r="O97" s="115">
        <v>18</v>
      </c>
      <c r="P97" s="145">
        <v>1.44</v>
      </c>
      <c r="V97" s="46">
        <v>32</v>
      </c>
      <c r="AA97" t="s">
        <v>264</v>
      </c>
      <c r="AG97" s="17">
        <f>SMALL(AB107:AF107,COUNTIF(AB107:AF107,"&lt;"&amp;'T1-A1'!D72)+1)</f>
        <v>115</v>
      </c>
      <c r="AH97" s="18">
        <f>SMALL(TABELLER!AB108:AF108,COUNTIF(AB108:AF108,"&lt;"&amp;'T1-A1'!D72)+1)</f>
        <v>110</v>
      </c>
      <c r="AI97" s="21" t="str">
        <f>AA102</f>
        <v>3-leder PEX-M-AL 12kV</v>
      </c>
      <c r="AJ97" s="17">
        <f>VLOOKUP(AG97,AG102:AI106,3,FALSE)</f>
        <v>25</v>
      </c>
      <c r="AK97" s="18">
        <f>VLOOKUP(AH97,AH102:AI106,2,FALSE)</f>
        <v>25</v>
      </c>
      <c r="AL97" s="21" t="s">
        <v>288</v>
      </c>
      <c r="AM97">
        <f ca="1">FORECAST(AJ97,OFFSET(Kabel1kabel,0,MATCH(AJ97,Kabel1storrelse,1)-1,,2),OFFSET(Kabel1storrelse,0,MATCH(AJ97,Kabel1storrelse,0)-1,,2))</f>
        <v>2.4</v>
      </c>
      <c r="AN97">
        <f ca="1">FORECAST(AJ98,OFFSET(Kabel2kabel,0,MATCH(AJ98,Kabel2storrelse,1)-1,,2),OFFSET(Kabel2storrelse,0,MATCH(AJ98,Kabel2storrelse,0)-1,,2))</f>
        <v>4.7000000000000011</v>
      </c>
    </row>
    <row r="98" spans="11:40" x14ac:dyDescent="0.25">
      <c r="K98" s="144">
        <v>4.0999999999999996</v>
      </c>
      <c r="L98" s="115">
        <v>1.85</v>
      </c>
      <c r="M98" s="115">
        <v>18.5</v>
      </c>
      <c r="N98" s="115">
        <v>1.48</v>
      </c>
      <c r="O98" s="115">
        <v>18.5</v>
      </c>
      <c r="P98" s="145">
        <v>1.48</v>
      </c>
      <c r="V98" s="46">
        <v>33</v>
      </c>
      <c r="X98" s="96" t="s">
        <v>236</v>
      </c>
      <c r="Y98" s="158">
        <v>1</v>
      </c>
      <c r="AA98" t="s">
        <v>259</v>
      </c>
      <c r="AG98" s="17">
        <f>SMALL(TABELLER!AB114:AE114,COUNTIF(AB114:AE114,"&lt;"&amp;'T1-A1'!D72)+1)</f>
        <v>170</v>
      </c>
      <c r="AH98" s="18">
        <f>SMALL(AB115:AE115,COUNTIF(AB115:AE115,"&lt;"&amp;'T1-A1'!D72)+1)</f>
        <v>160</v>
      </c>
      <c r="AI98" s="21" t="str">
        <f>AA109</f>
        <v>3-leder PEX-S-AL 12kV</v>
      </c>
      <c r="AJ98" s="17">
        <f>VLOOKUP(AG98,AG109:AI112,3,FALSE)</f>
        <v>50</v>
      </c>
      <c r="AK98" s="18">
        <f>VLOOKUP(AH98,AH109:AI112,2,FALSE)</f>
        <v>50</v>
      </c>
      <c r="AL98" s="21" t="s">
        <v>289</v>
      </c>
      <c r="AM98">
        <f ca="1">FORECAST(AJ97,OFFSET(Kabel1skarm,0,MATCH(AJ97,Kabel1storrelse,1)-1,,2),OFFSET(Kabel1storrelse,0,MATCH(AJ97,Kabel1storrelse,0)-1,,2))</f>
        <v>3.2</v>
      </c>
      <c r="AN98">
        <f ca="1">FORECAST(AJ98,OFFSET(Kabel2skarm,0,MATCH(AJ98,Kabel2storrelse,1)-1,,2),OFFSET(Kabel2storrelse,0,MATCH(AJ98,Kabel2storrelse,0)-1,,2))</f>
        <v>3.1999999999999997</v>
      </c>
    </row>
    <row r="99" spans="11:40" x14ac:dyDescent="0.25">
      <c r="K99" s="144">
        <v>4.2</v>
      </c>
      <c r="L99" s="115">
        <v>1.9</v>
      </c>
      <c r="M99" s="115">
        <v>19</v>
      </c>
      <c r="N99" s="115">
        <v>1.52</v>
      </c>
      <c r="O99" s="115">
        <v>19</v>
      </c>
      <c r="P99" s="145">
        <v>1.52</v>
      </c>
      <c r="V99" s="46">
        <v>34</v>
      </c>
      <c r="X99" s="17" t="s">
        <v>238</v>
      </c>
      <c r="Y99" s="18"/>
      <c r="AA99" t="s">
        <v>260</v>
      </c>
      <c r="AG99" s="175">
        <f>SMALL(TABELLER!AB115:AE115,COUNTIF(AB115:AE115,"&lt;"&amp;'T1-A1'!D72)+1)</f>
        <v>160</v>
      </c>
      <c r="AH99" s="176">
        <f>SMALL(TABELLER!AB110:AF110,COUNTIF(AB110:AF110,"&lt;"&amp;'T1-A1'!D76)+1)</f>
        <v>240</v>
      </c>
      <c r="AI99" s="183" t="str">
        <f>AA116</f>
        <v>1-leder PEX-M-AL-LT 12kV</v>
      </c>
      <c r="AJ99" s="175"/>
      <c r="AK99" s="176"/>
      <c r="AL99" s="21"/>
    </row>
    <row r="100" spans="11:40" x14ac:dyDescent="0.25">
      <c r="K100" s="144">
        <v>4.3</v>
      </c>
      <c r="L100" s="115">
        <v>1.95</v>
      </c>
      <c r="M100" s="115">
        <v>19.5</v>
      </c>
      <c r="N100" s="115">
        <v>1.56</v>
      </c>
      <c r="O100" s="115">
        <v>19.5</v>
      </c>
      <c r="P100" s="145">
        <v>1.56</v>
      </c>
      <c r="V100" s="46">
        <v>35</v>
      </c>
      <c r="X100" s="17" t="s">
        <v>239</v>
      </c>
      <c r="Y100" s="18"/>
      <c r="AA100" t="s">
        <v>261</v>
      </c>
      <c r="AG100" s="177" t="e">
        <f>SMALL(TABELLER!AB116:AE116,COUNTIF(AB116:AE116,"&lt;"&amp;'T1-A1'!D72)+1)</f>
        <v>#NUM!</v>
      </c>
      <c r="AH100" s="178">
        <f ca="1">SMALL(TABELLER!AB111:AF111,COUNTIF(AB111:AF111,"&lt;"&amp;'T1-A1'!D77)+1)</f>
        <v>4.7</v>
      </c>
      <c r="AI100" s="184" t="str">
        <f>AG116</f>
        <v>1-leder PEX-Cu 17,5kV</v>
      </c>
      <c r="AJ100" s="177"/>
      <c r="AK100" s="178"/>
      <c r="AL100" s="21"/>
    </row>
    <row r="101" spans="11:40" x14ac:dyDescent="0.25">
      <c r="K101" s="144">
        <v>4.4000000000000004</v>
      </c>
      <c r="L101" s="115">
        <v>2</v>
      </c>
      <c r="M101" s="115">
        <v>20</v>
      </c>
      <c r="N101" s="115">
        <v>1.6</v>
      </c>
      <c r="O101" s="115">
        <v>20</v>
      </c>
      <c r="P101" s="145">
        <v>1.6</v>
      </c>
      <c r="V101" s="46">
        <v>36</v>
      </c>
      <c r="X101" s="17" t="s">
        <v>236</v>
      </c>
      <c r="Y101" s="145">
        <v>3</v>
      </c>
      <c r="AA101" t="s">
        <v>262</v>
      </c>
    </row>
    <row r="102" spans="11:40" x14ac:dyDescent="0.25">
      <c r="K102" s="144">
        <v>4.5</v>
      </c>
      <c r="L102" s="115">
        <v>2.0499999999999998</v>
      </c>
      <c r="M102" s="115">
        <v>20.5</v>
      </c>
      <c r="N102" s="115">
        <v>1.64</v>
      </c>
      <c r="O102" s="115">
        <v>20.5</v>
      </c>
      <c r="P102" s="145">
        <v>1.64</v>
      </c>
      <c r="V102" s="46">
        <v>40</v>
      </c>
      <c r="X102" s="17" t="s">
        <v>237</v>
      </c>
      <c r="Y102" s="18"/>
      <c r="AA102" s="96" t="str">
        <f>AA98</f>
        <v>3-leder PEX-M-AL 12kV</v>
      </c>
      <c r="AB102" s="98"/>
      <c r="AC102" s="98"/>
      <c r="AD102" s="98"/>
      <c r="AE102" s="98"/>
      <c r="AF102" s="97"/>
      <c r="AG102" s="96">
        <v>115</v>
      </c>
      <c r="AH102" s="98">
        <v>110</v>
      </c>
      <c r="AI102" s="3">
        <v>25</v>
      </c>
      <c r="AJ102" s="179"/>
      <c r="AK102" s="180"/>
    </row>
    <row r="103" spans="11:40" x14ac:dyDescent="0.25">
      <c r="K103" s="144">
        <v>4.5999999999999996</v>
      </c>
      <c r="L103" s="115">
        <v>2.1</v>
      </c>
      <c r="M103" s="115">
        <v>21</v>
      </c>
      <c r="N103" s="115">
        <v>1.68</v>
      </c>
      <c r="O103" s="115">
        <v>21</v>
      </c>
      <c r="P103" s="145">
        <v>1.68</v>
      </c>
      <c r="V103" s="46">
        <v>41</v>
      </c>
      <c r="X103" s="17" t="s">
        <v>240</v>
      </c>
      <c r="Y103" s="18"/>
      <c r="AA103" s="17"/>
      <c r="AB103" s="21">
        <v>25</v>
      </c>
      <c r="AC103" s="21">
        <v>50</v>
      </c>
      <c r="AD103" s="21">
        <v>95</v>
      </c>
      <c r="AE103" s="21">
        <v>150</v>
      </c>
      <c r="AF103" s="18">
        <v>240</v>
      </c>
      <c r="AG103" s="17">
        <v>170</v>
      </c>
      <c r="AH103" s="21">
        <v>160</v>
      </c>
      <c r="AI103" s="46">
        <v>50</v>
      </c>
      <c r="AJ103" s="29"/>
      <c r="AK103" s="23"/>
    </row>
    <row r="104" spans="11:40" x14ac:dyDescent="0.25">
      <c r="K104" s="144">
        <v>4.7</v>
      </c>
      <c r="L104" s="115">
        <v>2.15</v>
      </c>
      <c r="M104" s="115">
        <v>21.5</v>
      </c>
      <c r="N104" s="115">
        <v>1.72</v>
      </c>
      <c r="O104" s="115">
        <v>21.5</v>
      </c>
      <c r="P104" s="145">
        <v>1.72</v>
      </c>
      <c r="V104" s="46">
        <v>42</v>
      </c>
      <c r="X104" s="17" t="s">
        <v>241</v>
      </c>
      <c r="Y104" s="145">
        <v>1</v>
      </c>
      <c r="AA104" s="17" t="s">
        <v>265</v>
      </c>
      <c r="AB104" s="21">
        <v>2.4</v>
      </c>
      <c r="AC104" s="21">
        <v>4.7</v>
      </c>
      <c r="AD104" s="21">
        <v>8.9</v>
      </c>
      <c r="AE104" s="21">
        <v>14.2</v>
      </c>
      <c r="AF104" s="18">
        <v>22.6</v>
      </c>
      <c r="AG104" s="17">
        <v>240</v>
      </c>
      <c r="AH104" s="21">
        <v>230</v>
      </c>
      <c r="AI104" s="46">
        <v>95</v>
      </c>
      <c r="AJ104" s="29"/>
      <c r="AK104" s="23"/>
    </row>
    <row r="105" spans="11:40" x14ac:dyDescent="0.25">
      <c r="K105" s="144">
        <v>4.8</v>
      </c>
      <c r="L105" s="115">
        <v>2.2000000000000002</v>
      </c>
      <c r="M105" s="115">
        <v>22</v>
      </c>
      <c r="N105" s="115">
        <v>1.76</v>
      </c>
      <c r="O105" s="115">
        <v>22</v>
      </c>
      <c r="P105" s="145">
        <v>1.76</v>
      </c>
      <c r="V105" s="46">
        <v>43</v>
      </c>
      <c r="X105" s="17" t="s">
        <v>242</v>
      </c>
      <c r="Y105" s="18"/>
      <c r="AA105" s="17" t="s">
        <v>266</v>
      </c>
      <c r="AB105" s="21">
        <v>3.2</v>
      </c>
      <c r="AC105" s="21">
        <v>3.2</v>
      </c>
      <c r="AD105" s="21">
        <v>5</v>
      </c>
      <c r="AE105" s="21">
        <v>5</v>
      </c>
      <c r="AF105" s="18">
        <v>7</v>
      </c>
      <c r="AG105" s="17">
        <v>310</v>
      </c>
      <c r="AH105" s="21">
        <v>305</v>
      </c>
      <c r="AI105" s="46">
        <v>150</v>
      </c>
      <c r="AJ105" s="29"/>
      <c r="AK105" s="23"/>
    </row>
    <row r="106" spans="11:40" x14ac:dyDescent="0.25">
      <c r="K106" s="144">
        <v>4.9000000000000004</v>
      </c>
      <c r="L106" s="115">
        <v>2.25</v>
      </c>
      <c r="M106" s="115">
        <v>22.5</v>
      </c>
      <c r="N106" s="115">
        <v>1.8</v>
      </c>
      <c r="O106" s="115">
        <v>22.5</v>
      </c>
      <c r="P106" s="145">
        <v>1.8</v>
      </c>
      <c r="V106" s="46">
        <v>44</v>
      </c>
      <c r="X106" s="17" t="s">
        <v>243</v>
      </c>
      <c r="Y106" s="18"/>
      <c r="AA106" s="17"/>
      <c r="AB106" s="21"/>
      <c r="AC106" s="21"/>
      <c r="AD106" s="21"/>
      <c r="AE106" s="21"/>
      <c r="AF106" s="18"/>
      <c r="AG106" s="19">
        <v>400</v>
      </c>
      <c r="AH106" s="99">
        <v>400</v>
      </c>
      <c r="AI106" s="82">
        <v>240</v>
      </c>
      <c r="AJ106" s="130"/>
      <c r="AK106" s="106"/>
    </row>
    <row r="107" spans="11:40" x14ac:dyDescent="0.25">
      <c r="K107" s="144">
        <v>5</v>
      </c>
      <c r="L107" s="115">
        <v>2.2999999999999998</v>
      </c>
      <c r="M107" s="115">
        <v>23</v>
      </c>
      <c r="N107" s="115">
        <v>1.84</v>
      </c>
      <c r="O107" s="115">
        <v>23</v>
      </c>
      <c r="P107" s="145">
        <v>1.84</v>
      </c>
      <c r="V107" s="46">
        <v>45</v>
      </c>
      <c r="X107" s="17" t="s">
        <v>244</v>
      </c>
      <c r="Y107" s="18"/>
      <c r="AA107" s="17" t="s">
        <v>256</v>
      </c>
      <c r="AB107" s="21">
        <v>115</v>
      </c>
      <c r="AC107" s="21">
        <v>170</v>
      </c>
      <c r="AD107" s="21">
        <v>240</v>
      </c>
      <c r="AE107" s="21">
        <v>310</v>
      </c>
      <c r="AF107" s="18">
        <v>400</v>
      </c>
    </row>
    <row r="108" spans="11:40" x14ac:dyDescent="0.25">
      <c r="K108" s="17"/>
      <c r="L108" s="115">
        <v>2.35</v>
      </c>
      <c r="M108" s="115">
        <v>23.5</v>
      </c>
      <c r="N108" s="115">
        <v>1.88</v>
      </c>
      <c r="O108" s="115">
        <v>23.5</v>
      </c>
      <c r="P108" s="145">
        <v>1.88</v>
      </c>
      <c r="V108" s="46">
        <v>46</v>
      </c>
      <c r="X108" s="17" t="s">
        <v>245</v>
      </c>
      <c r="Y108" s="18"/>
      <c r="AA108" s="19" t="s">
        <v>257</v>
      </c>
      <c r="AB108" s="99">
        <v>110</v>
      </c>
      <c r="AC108" s="99">
        <v>160</v>
      </c>
      <c r="AD108" s="99">
        <v>230</v>
      </c>
      <c r="AE108" s="99">
        <v>305</v>
      </c>
      <c r="AF108" s="20">
        <v>400</v>
      </c>
    </row>
    <row r="109" spans="11:40" x14ac:dyDescent="0.25">
      <c r="K109" s="17"/>
      <c r="L109" s="115">
        <v>2.4</v>
      </c>
      <c r="M109" s="115">
        <v>24</v>
      </c>
      <c r="N109" s="115">
        <v>1.92</v>
      </c>
      <c r="O109" s="115">
        <v>24</v>
      </c>
      <c r="P109" s="145">
        <v>1.92</v>
      </c>
      <c r="V109" s="46">
        <v>47</v>
      </c>
      <c r="X109" s="17" t="s">
        <v>246</v>
      </c>
      <c r="Y109" s="18"/>
      <c r="AA109" s="96" t="str">
        <f>AA99</f>
        <v>3-leder PEX-S-AL 12kV</v>
      </c>
      <c r="AB109" s="98"/>
      <c r="AC109" s="98"/>
      <c r="AD109" s="98"/>
      <c r="AE109" s="98"/>
      <c r="AF109" s="97"/>
      <c r="AG109" s="96">
        <v>170</v>
      </c>
      <c r="AH109" s="98">
        <v>160</v>
      </c>
      <c r="AI109" s="3">
        <v>50</v>
      </c>
      <c r="AJ109" s="179"/>
      <c r="AK109" s="180"/>
    </row>
    <row r="110" spans="11:40" x14ac:dyDescent="0.25">
      <c r="K110" s="17"/>
      <c r="L110" s="115">
        <v>2.4500000000000002</v>
      </c>
      <c r="M110" s="115">
        <v>24.5</v>
      </c>
      <c r="N110" s="115">
        <v>1.96</v>
      </c>
      <c r="O110" s="115">
        <v>24.5</v>
      </c>
      <c r="P110" s="145">
        <v>1.96</v>
      </c>
      <c r="V110" s="46">
        <v>50</v>
      </c>
      <c r="X110" s="17" t="s">
        <v>247</v>
      </c>
      <c r="Y110" s="18"/>
      <c r="AA110" s="17"/>
      <c r="AB110" s="21">
        <v>50</v>
      </c>
      <c r="AC110" s="21">
        <v>95</v>
      </c>
      <c r="AD110" s="21">
        <v>150</v>
      </c>
      <c r="AE110" s="21">
        <v>240</v>
      </c>
      <c r="AF110" s="18"/>
      <c r="AG110" s="22">
        <v>240</v>
      </c>
      <c r="AH110" s="29">
        <v>230</v>
      </c>
      <c r="AI110" s="181">
        <v>95</v>
      </c>
      <c r="AJ110" s="29"/>
      <c r="AK110" s="23"/>
    </row>
    <row r="111" spans="11:40" x14ac:dyDescent="0.25">
      <c r="K111" s="17"/>
      <c r="L111" s="115">
        <v>2.5</v>
      </c>
      <c r="M111" s="115">
        <v>25</v>
      </c>
      <c r="N111" s="115">
        <v>2</v>
      </c>
      <c r="O111" s="115">
        <v>25</v>
      </c>
      <c r="P111" s="145">
        <v>2</v>
      </c>
      <c r="V111" s="46">
        <v>51</v>
      </c>
      <c r="X111" s="17" t="s">
        <v>248</v>
      </c>
      <c r="Y111" s="18"/>
      <c r="AA111" s="17" t="str">
        <f t="shared" ref="AA111:AA115" si="0">AA104</f>
        <v>Ik_kabel</v>
      </c>
      <c r="AB111" s="21">
        <v>4.7</v>
      </c>
      <c r="AC111" s="21">
        <v>8.9</v>
      </c>
      <c r="AD111" s="21">
        <v>14.2</v>
      </c>
      <c r="AE111" s="21">
        <v>22.6</v>
      </c>
      <c r="AF111" s="18"/>
      <c r="AG111" s="22">
        <v>310</v>
      </c>
      <c r="AH111" s="29">
        <v>305</v>
      </c>
      <c r="AI111" s="181">
        <v>150</v>
      </c>
      <c r="AJ111" s="29"/>
      <c r="AK111" s="23"/>
    </row>
    <row r="112" spans="11:40" x14ac:dyDescent="0.25">
      <c r="K112" s="17"/>
      <c r="L112" s="115">
        <v>2.5499999999999998</v>
      </c>
      <c r="M112" s="115">
        <v>25.5</v>
      </c>
      <c r="N112" s="115">
        <v>2.04</v>
      </c>
      <c r="O112" s="115">
        <v>25.5</v>
      </c>
      <c r="P112" s="145">
        <v>2.04</v>
      </c>
      <c r="V112" s="46">
        <v>52</v>
      </c>
      <c r="X112" s="17" t="s">
        <v>241</v>
      </c>
      <c r="Y112" s="145">
        <v>3</v>
      </c>
      <c r="AA112" s="17" t="str">
        <f t="shared" si="0"/>
        <v>Ik_skærm</v>
      </c>
      <c r="AB112" s="21">
        <v>3.2</v>
      </c>
      <c r="AC112" s="21">
        <v>5</v>
      </c>
      <c r="AD112" s="21">
        <v>5</v>
      </c>
      <c r="AE112" s="21">
        <v>7</v>
      </c>
      <c r="AF112" s="18"/>
      <c r="AG112" s="105">
        <v>400</v>
      </c>
      <c r="AH112" s="130">
        <v>400</v>
      </c>
      <c r="AI112" s="132">
        <v>240</v>
      </c>
      <c r="AJ112" s="130"/>
      <c r="AK112" s="106"/>
    </row>
    <row r="113" spans="1:39" x14ac:dyDescent="0.25">
      <c r="A113" s="96">
        <v>10</v>
      </c>
      <c r="B113" s="97">
        <v>1.1200000000000001</v>
      </c>
      <c r="K113" s="17"/>
      <c r="L113" s="115">
        <v>2.6</v>
      </c>
      <c r="M113" s="115">
        <v>26</v>
      </c>
      <c r="N113" s="115">
        <v>2.08</v>
      </c>
      <c r="O113" s="115">
        <v>26</v>
      </c>
      <c r="P113" s="145">
        <v>2.08</v>
      </c>
      <c r="V113" s="46">
        <v>53</v>
      </c>
      <c r="X113" s="17" t="s">
        <v>249</v>
      </c>
      <c r="Y113" s="18"/>
      <c r="AA113" s="17"/>
      <c r="AB113" s="21"/>
      <c r="AC113" s="21"/>
      <c r="AD113" s="21"/>
      <c r="AE113" s="21"/>
      <c r="AF113" s="18"/>
    </row>
    <row r="114" spans="1:39" x14ac:dyDescent="0.25">
      <c r="A114" s="17">
        <v>15</v>
      </c>
      <c r="B114" s="18">
        <v>1.08</v>
      </c>
      <c r="K114" s="17"/>
      <c r="L114" s="115">
        <v>2.65</v>
      </c>
      <c r="M114" s="115">
        <v>26.5</v>
      </c>
      <c r="N114" s="115">
        <v>2.12</v>
      </c>
      <c r="O114" s="115">
        <v>26.5</v>
      </c>
      <c r="P114" s="145">
        <v>2.12</v>
      </c>
      <c r="V114" s="46">
        <v>54</v>
      </c>
      <c r="X114" s="17" t="s">
        <v>250</v>
      </c>
      <c r="Y114" s="18"/>
      <c r="AA114" s="17" t="s">
        <v>256</v>
      </c>
      <c r="AB114" s="21">
        <v>170</v>
      </c>
      <c r="AC114" s="21">
        <v>240</v>
      </c>
      <c r="AD114" s="21">
        <v>310</v>
      </c>
      <c r="AE114" s="21">
        <v>400</v>
      </c>
      <c r="AF114" s="18"/>
    </row>
    <row r="115" spans="1:39" x14ac:dyDescent="0.25">
      <c r="A115" s="17">
        <v>20</v>
      </c>
      <c r="B115" s="18">
        <v>1.04</v>
      </c>
      <c r="K115" s="17"/>
      <c r="L115" s="115">
        <v>2.7</v>
      </c>
      <c r="M115" s="115">
        <v>27</v>
      </c>
      <c r="N115" s="115">
        <v>2.16</v>
      </c>
      <c r="O115" s="115">
        <v>27</v>
      </c>
      <c r="P115" s="145">
        <v>2.16</v>
      </c>
      <c r="V115" s="46">
        <v>55</v>
      </c>
      <c r="X115" s="17" t="s">
        <v>251</v>
      </c>
      <c r="Y115" s="18"/>
      <c r="AA115" s="17" t="str">
        <f t="shared" si="0"/>
        <v>Luft</v>
      </c>
      <c r="AB115" s="21">
        <v>160</v>
      </c>
      <c r="AC115" s="21">
        <v>230</v>
      </c>
      <c r="AD115" s="21">
        <v>305</v>
      </c>
      <c r="AE115" s="21">
        <v>400</v>
      </c>
      <c r="AF115" s="18"/>
    </row>
    <row r="116" spans="1:39" x14ac:dyDescent="0.25">
      <c r="A116" s="17">
        <v>25</v>
      </c>
      <c r="B116" s="18">
        <v>1</v>
      </c>
      <c r="K116" s="17"/>
      <c r="L116" s="115">
        <v>2.75</v>
      </c>
      <c r="M116" s="115">
        <v>27.5</v>
      </c>
      <c r="N116" s="115">
        <v>2.2000000000000002</v>
      </c>
      <c r="O116" s="115">
        <v>27.5</v>
      </c>
      <c r="P116" s="145">
        <v>2.2000000000000002</v>
      </c>
      <c r="V116" s="46">
        <v>56</v>
      </c>
      <c r="X116" s="19" t="s">
        <v>252</v>
      </c>
      <c r="Y116" s="20"/>
      <c r="AA116" s="96" t="str">
        <f>AA100</f>
        <v>1-leder PEX-M-AL-LT 12kV</v>
      </c>
      <c r="AB116" s="98"/>
      <c r="AC116" s="98"/>
      <c r="AD116" s="98"/>
      <c r="AE116" s="98"/>
      <c r="AF116" s="98"/>
      <c r="AG116" s="96" t="str">
        <f>AA101</f>
        <v>1-leder PEX-Cu 17,5kV</v>
      </c>
      <c r="AH116" s="98"/>
      <c r="AI116" s="98"/>
      <c r="AJ116" s="98"/>
      <c r="AK116" s="98"/>
      <c r="AL116" s="98"/>
      <c r="AM116" s="97"/>
    </row>
    <row r="117" spans="1:39" x14ac:dyDescent="0.25">
      <c r="A117" s="17">
        <v>30</v>
      </c>
      <c r="B117" s="18">
        <v>0.95</v>
      </c>
      <c r="K117" s="17"/>
      <c r="L117" s="115">
        <v>2.8</v>
      </c>
      <c r="M117" s="115">
        <v>28</v>
      </c>
      <c r="N117" s="115">
        <v>2.2400000000000002</v>
      </c>
      <c r="O117" s="115">
        <v>28</v>
      </c>
      <c r="P117" s="145">
        <v>2.2400000000000002</v>
      </c>
      <c r="V117" s="46">
        <v>57</v>
      </c>
      <c r="AA117" s="17"/>
      <c r="AB117" s="21">
        <v>50</v>
      </c>
      <c r="AC117" s="21">
        <v>95</v>
      </c>
      <c r="AD117" s="21">
        <v>150</v>
      </c>
      <c r="AE117" s="21">
        <v>240</v>
      </c>
      <c r="AF117" s="21">
        <v>300</v>
      </c>
      <c r="AG117" s="17"/>
      <c r="AH117" s="21">
        <v>16</v>
      </c>
      <c r="AI117" s="21">
        <v>25</v>
      </c>
      <c r="AJ117" s="21">
        <v>50</v>
      </c>
      <c r="AK117" s="21">
        <v>95</v>
      </c>
      <c r="AL117" s="21">
        <v>150</v>
      </c>
      <c r="AM117" s="18">
        <v>240</v>
      </c>
    </row>
    <row r="118" spans="1:39" x14ac:dyDescent="0.25">
      <c r="A118" s="17">
        <v>35</v>
      </c>
      <c r="B118" s="18">
        <v>0.9</v>
      </c>
      <c r="K118" s="17"/>
      <c r="L118" s="115">
        <v>2.85</v>
      </c>
      <c r="M118" s="115">
        <v>28.5</v>
      </c>
      <c r="N118" s="115">
        <v>2.2799999999999998</v>
      </c>
      <c r="O118" s="115">
        <v>28.5</v>
      </c>
      <c r="P118" s="145">
        <v>2.2799999999999998</v>
      </c>
      <c r="V118" s="46">
        <v>58</v>
      </c>
      <c r="AA118" s="17" t="str">
        <f t="shared" ref="AA118:AA119" si="1">AA111</f>
        <v>Ik_kabel</v>
      </c>
      <c r="AB118" s="21">
        <v>4.72</v>
      </c>
      <c r="AC118" s="21">
        <v>8.98</v>
      </c>
      <c r="AD118" s="21">
        <v>14.2</v>
      </c>
      <c r="AE118" s="21">
        <v>22.7</v>
      </c>
      <c r="AF118" s="21">
        <v>28.3</v>
      </c>
      <c r="AG118" s="17" t="str">
        <f>AA118</f>
        <v>Ik_kabel</v>
      </c>
      <c r="AH118" s="21">
        <v>2.2999999999999998</v>
      </c>
      <c r="AI118" s="21">
        <v>3.6</v>
      </c>
      <c r="AJ118" s="21">
        <v>7.2</v>
      </c>
      <c r="AK118" s="21">
        <v>13.6</v>
      </c>
      <c r="AL118" s="21">
        <v>21.5</v>
      </c>
      <c r="AM118" s="18">
        <v>34.6</v>
      </c>
    </row>
    <row r="119" spans="1:39" x14ac:dyDescent="0.25">
      <c r="A119" s="17">
        <v>40</v>
      </c>
      <c r="B119" s="18">
        <v>0.85</v>
      </c>
      <c r="K119" s="17"/>
      <c r="L119" s="115">
        <v>2.9</v>
      </c>
      <c r="M119" s="115">
        <v>29</v>
      </c>
      <c r="N119" s="115">
        <v>2.3199999999999998</v>
      </c>
      <c r="O119" s="115">
        <v>29</v>
      </c>
      <c r="P119" s="145">
        <v>2.3199999999999998</v>
      </c>
      <c r="V119" s="46">
        <v>59</v>
      </c>
      <c r="AA119" s="19" t="str">
        <f t="shared" si="1"/>
        <v>Ik_skærm</v>
      </c>
      <c r="AB119" s="99">
        <v>3.2</v>
      </c>
      <c r="AC119" s="99">
        <v>5</v>
      </c>
      <c r="AD119" s="99">
        <v>5</v>
      </c>
      <c r="AE119" s="99">
        <v>7</v>
      </c>
      <c r="AF119" s="99">
        <v>7</v>
      </c>
      <c r="AG119" s="19" t="str">
        <f>AA119</f>
        <v>Ik_skærm</v>
      </c>
      <c r="AH119" s="99">
        <v>1</v>
      </c>
      <c r="AI119" s="99">
        <v>3.2</v>
      </c>
      <c r="AJ119" s="99">
        <v>3.2</v>
      </c>
      <c r="AK119" s="99">
        <v>5</v>
      </c>
      <c r="AL119" s="99">
        <v>5</v>
      </c>
      <c r="AM119" s="20">
        <v>7</v>
      </c>
    </row>
    <row r="120" spans="1:39" x14ac:dyDescent="0.25">
      <c r="A120" s="19">
        <v>45</v>
      </c>
      <c r="B120" s="20">
        <v>0.8</v>
      </c>
      <c r="K120" s="17"/>
      <c r="L120" s="115">
        <v>2.95</v>
      </c>
      <c r="M120" s="115">
        <v>29.5</v>
      </c>
      <c r="N120" s="115">
        <v>2.36</v>
      </c>
      <c r="O120" s="115">
        <v>29.5</v>
      </c>
      <c r="P120" s="145">
        <v>2.36</v>
      </c>
      <c r="V120" s="82">
        <v>60</v>
      </c>
      <c r="AA120" s="17"/>
    </row>
    <row r="121" spans="1:39" x14ac:dyDescent="0.25">
      <c r="K121" s="17"/>
      <c r="L121" s="115">
        <v>3</v>
      </c>
      <c r="M121" s="115">
        <v>30</v>
      </c>
      <c r="N121" s="115">
        <v>2.4</v>
      </c>
      <c r="O121" s="115">
        <v>30</v>
      </c>
      <c r="P121" s="145">
        <v>2.4</v>
      </c>
      <c r="AA121" s="17"/>
    </row>
    <row r="122" spans="1:39" x14ac:dyDescent="0.25">
      <c r="K122" s="17"/>
      <c r="L122" s="115"/>
      <c r="M122" s="115">
        <v>30.5</v>
      </c>
      <c r="N122" s="115">
        <v>2.44</v>
      </c>
      <c r="O122" s="115">
        <v>30.5</v>
      </c>
      <c r="P122" s="145">
        <v>2.44</v>
      </c>
      <c r="AA122" s="19"/>
    </row>
    <row r="123" spans="1:39" x14ac:dyDescent="0.25">
      <c r="K123" s="17"/>
      <c r="L123" s="115"/>
      <c r="M123" s="115">
        <v>31</v>
      </c>
      <c r="N123" s="115">
        <v>2.48</v>
      </c>
      <c r="O123" s="115">
        <v>31</v>
      </c>
      <c r="P123" s="145">
        <v>2.48</v>
      </c>
    </row>
    <row r="124" spans="1:39" x14ac:dyDescent="0.25">
      <c r="K124" s="17"/>
      <c r="L124" s="115"/>
      <c r="M124" s="115">
        <v>31.5</v>
      </c>
      <c r="N124" s="115">
        <v>2.52</v>
      </c>
      <c r="O124" s="115">
        <v>31.5</v>
      </c>
      <c r="P124" s="145">
        <v>2.52</v>
      </c>
    </row>
    <row r="125" spans="1:39" x14ac:dyDescent="0.25">
      <c r="K125" s="17"/>
      <c r="L125" s="115"/>
      <c r="M125" s="115">
        <v>32</v>
      </c>
      <c r="N125" s="115">
        <v>2.56</v>
      </c>
      <c r="O125" s="115">
        <v>32</v>
      </c>
      <c r="P125" s="145">
        <v>2.56</v>
      </c>
    </row>
    <row r="126" spans="1:39" x14ac:dyDescent="0.25">
      <c r="K126" s="17"/>
      <c r="L126" s="115"/>
      <c r="M126" s="115">
        <v>32.5</v>
      </c>
      <c r="N126" s="115">
        <v>2.6</v>
      </c>
      <c r="O126" s="115">
        <v>32.5</v>
      </c>
      <c r="P126" s="145">
        <v>2.6</v>
      </c>
    </row>
    <row r="127" spans="1:39" x14ac:dyDescent="0.25">
      <c r="K127" s="17"/>
      <c r="L127" s="115"/>
      <c r="M127" s="115">
        <v>33</v>
      </c>
      <c r="N127" s="115">
        <v>2.64</v>
      </c>
      <c r="O127" s="115">
        <v>33</v>
      </c>
      <c r="P127" s="145">
        <v>2.64</v>
      </c>
    </row>
    <row r="128" spans="1:39" x14ac:dyDescent="0.25">
      <c r="K128" s="17"/>
      <c r="L128" s="115"/>
      <c r="M128" s="115">
        <v>33.5</v>
      </c>
      <c r="N128" s="115">
        <v>2.68</v>
      </c>
      <c r="O128" s="115">
        <v>33.5</v>
      </c>
      <c r="P128" s="145">
        <v>2.68</v>
      </c>
    </row>
    <row r="129" spans="11:16" x14ac:dyDescent="0.25">
      <c r="K129" s="17"/>
      <c r="L129" s="115"/>
      <c r="M129" s="115">
        <v>34</v>
      </c>
      <c r="N129" s="115">
        <v>2.72</v>
      </c>
      <c r="O129" s="115">
        <v>34</v>
      </c>
      <c r="P129" s="145">
        <v>2.72</v>
      </c>
    </row>
    <row r="130" spans="11:16" x14ac:dyDescent="0.25">
      <c r="K130" s="17"/>
      <c r="L130" s="115"/>
      <c r="M130" s="115">
        <v>34.5</v>
      </c>
      <c r="N130" s="115">
        <v>2.76</v>
      </c>
      <c r="O130" s="115">
        <v>34.5</v>
      </c>
      <c r="P130" s="145">
        <v>2.76</v>
      </c>
    </row>
    <row r="131" spans="11:16" x14ac:dyDescent="0.25">
      <c r="K131" s="17"/>
      <c r="L131" s="115"/>
      <c r="M131" s="115">
        <v>35</v>
      </c>
      <c r="N131" s="115">
        <v>2.8</v>
      </c>
      <c r="O131" s="115">
        <v>35</v>
      </c>
      <c r="P131" s="145">
        <v>2.8</v>
      </c>
    </row>
    <row r="132" spans="11:16" x14ac:dyDescent="0.25">
      <c r="K132" s="17"/>
      <c r="L132" s="115"/>
      <c r="M132" s="115">
        <v>35.5</v>
      </c>
      <c r="N132" s="115">
        <v>2.84</v>
      </c>
      <c r="O132" s="115">
        <v>35.5</v>
      </c>
      <c r="P132" s="145">
        <v>2.84</v>
      </c>
    </row>
    <row r="133" spans="11:16" x14ac:dyDescent="0.25">
      <c r="K133" s="17"/>
      <c r="L133" s="115"/>
      <c r="M133" s="115">
        <v>36</v>
      </c>
      <c r="N133" s="115">
        <v>2.88</v>
      </c>
      <c r="O133" s="115">
        <v>36</v>
      </c>
      <c r="P133" s="145">
        <v>2.88</v>
      </c>
    </row>
    <row r="134" spans="11:16" x14ac:dyDescent="0.25">
      <c r="K134" s="17"/>
      <c r="L134" s="115"/>
      <c r="M134" s="115">
        <v>36.5</v>
      </c>
      <c r="N134" s="115">
        <v>2.92</v>
      </c>
      <c r="O134" s="115">
        <v>36.5</v>
      </c>
      <c r="P134" s="145">
        <v>2.92</v>
      </c>
    </row>
    <row r="135" spans="11:16" x14ac:dyDescent="0.25">
      <c r="K135" s="17"/>
      <c r="L135" s="115"/>
      <c r="M135" s="115">
        <v>37</v>
      </c>
      <c r="N135" s="115">
        <v>2.96</v>
      </c>
      <c r="O135" s="115">
        <v>37</v>
      </c>
      <c r="P135" s="145">
        <v>2.96</v>
      </c>
    </row>
    <row r="136" spans="11:16" x14ac:dyDescent="0.25">
      <c r="K136" s="17"/>
      <c r="L136" s="115"/>
      <c r="M136" s="115">
        <v>37.5</v>
      </c>
      <c r="N136" s="115">
        <v>3</v>
      </c>
      <c r="O136" s="115">
        <v>37.5</v>
      </c>
      <c r="P136" s="145">
        <v>3</v>
      </c>
    </row>
    <row r="137" spans="11:16" x14ac:dyDescent="0.25">
      <c r="K137" s="17"/>
      <c r="L137" s="115"/>
      <c r="M137" s="115">
        <v>38</v>
      </c>
      <c r="N137" s="21"/>
      <c r="O137" s="115">
        <v>38</v>
      </c>
      <c r="P137" s="18"/>
    </row>
    <row r="138" spans="11:16" x14ac:dyDescent="0.25">
      <c r="K138" s="17"/>
      <c r="L138" s="115"/>
      <c r="M138" s="115">
        <v>38.5</v>
      </c>
      <c r="N138" s="21"/>
      <c r="O138" s="115">
        <v>38.5</v>
      </c>
      <c r="P138" s="18"/>
    </row>
    <row r="139" spans="11:16" x14ac:dyDescent="0.25">
      <c r="K139" s="17"/>
      <c r="L139" s="115"/>
      <c r="M139" s="115">
        <v>39</v>
      </c>
      <c r="N139" s="21"/>
      <c r="O139" s="115">
        <v>39</v>
      </c>
      <c r="P139" s="18"/>
    </row>
    <row r="140" spans="11:16" x14ac:dyDescent="0.25">
      <c r="K140" s="17"/>
      <c r="L140" s="115"/>
      <c r="M140" s="115">
        <v>39.5</v>
      </c>
      <c r="N140" s="21"/>
      <c r="O140" s="115">
        <v>39.5</v>
      </c>
      <c r="P140" s="18"/>
    </row>
    <row r="141" spans="11:16" x14ac:dyDescent="0.25">
      <c r="K141" s="19"/>
      <c r="L141" s="146"/>
      <c r="M141" s="146">
        <v>40</v>
      </c>
      <c r="N141" s="99"/>
      <c r="O141" s="146">
        <v>40</v>
      </c>
      <c r="P141" s="20"/>
    </row>
    <row r="142" spans="11:16" x14ac:dyDescent="0.25">
      <c r="L142" s="115"/>
    </row>
    <row r="143" spans="11:16" x14ac:dyDescent="0.25">
      <c r="L143" s="115"/>
    </row>
    <row r="144" spans="11:16" x14ac:dyDescent="0.25">
      <c r="L144" s="115"/>
    </row>
    <row r="145" spans="12:12" x14ac:dyDescent="0.25">
      <c r="L145" s="115"/>
    </row>
    <row r="146" spans="12:12" x14ac:dyDescent="0.25">
      <c r="L146" s="115"/>
    </row>
    <row r="147" spans="12:12" x14ac:dyDescent="0.25">
      <c r="L147" s="115"/>
    </row>
    <row r="148" spans="12:12" x14ac:dyDescent="0.25">
      <c r="L148" s="115"/>
    </row>
    <row r="149" spans="12:12" x14ac:dyDescent="0.25">
      <c r="L149" s="115"/>
    </row>
    <row r="150" spans="12:12" x14ac:dyDescent="0.25">
      <c r="L150" s="115"/>
    </row>
    <row r="151" spans="12:12" x14ac:dyDescent="0.25">
      <c r="L151" s="115"/>
    </row>
    <row r="152" spans="12:12" x14ac:dyDescent="0.25">
      <c r="L152" s="115"/>
    </row>
    <row r="153" spans="12:12" x14ac:dyDescent="0.25">
      <c r="L153" s="115"/>
    </row>
    <row r="154" spans="12:12" x14ac:dyDescent="0.25">
      <c r="L154" s="115"/>
    </row>
    <row r="155" spans="12:12" x14ac:dyDescent="0.25">
      <c r="L155" s="115"/>
    </row>
    <row r="156" spans="12:12" x14ac:dyDescent="0.25">
      <c r="L156" s="115"/>
    </row>
    <row r="157" spans="12:12" x14ac:dyDescent="0.25">
      <c r="L157" s="115"/>
    </row>
    <row r="158" spans="12:12" x14ac:dyDescent="0.25">
      <c r="L158" s="115"/>
    </row>
    <row r="159" spans="12:12" x14ac:dyDescent="0.25">
      <c r="L159" s="115"/>
    </row>
    <row r="160" spans="12:12" x14ac:dyDescent="0.25">
      <c r="L160" s="115"/>
    </row>
    <row r="161" spans="12:12" x14ac:dyDescent="0.25">
      <c r="L161" s="115"/>
    </row>
  </sheetData>
  <mergeCells count="21">
    <mergeCell ref="A1:B1"/>
    <mergeCell ref="A15:B15"/>
    <mergeCell ref="E1:F1"/>
    <mergeCell ref="G1:H1"/>
    <mergeCell ref="E2:F2"/>
    <mergeCell ref="G2:H2"/>
    <mergeCell ref="E3:E5"/>
    <mergeCell ref="F3:F5"/>
    <mergeCell ref="G3:G5"/>
    <mergeCell ref="H3:H5"/>
    <mergeCell ref="I3:I5"/>
    <mergeCell ref="E6:I6"/>
    <mergeCell ref="E28:I28"/>
    <mergeCell ref="E41:F41"/>
    <mergeCell ref="G41:H41"/>
    <mergeCell ref="X62:Z62"/>
    <mergeCell ref="X75:AG75"/>
    <mergeCell ref="Y76:AG76"/>
    <mergeCell ref="E42:F42"/>
    <mergeCell ref="G42:H42"/>
    <mergeCell ref="F65:J6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10</vt:i4>
      </vt:variant>
    </vt:vector>
  </HeadingPairs>
  <TitlesOfParts>
    <vt:vector size="19" baseType="lpstr">
      <vt:lpstr>Transformers kortslutningseffek</vt:lpstr>
      <vt:lpstr>KB regning</vt:lpstr>
      <vt:lpstr>T1-A1</vt:lpstr>
      <vt:lpstr>Lavspænding</vt:lpstr>
      <vt:lpstr>KB af tavle</vt:lpstr>
      <vt:lpstr>BIB af tavle</vt:lpstr>
      <vt:lpstr>Spændingsdyk</vt:lpstr>
      <vt:lpstr>DATA</vt:lpstr>
      <vt:lpstr>TABELLER</vt:lpstr>
      <vt:lpstr>Alum1</vt:lpstr>
      <vt:lpstr>Alum3</vt:lpstr>
      <vt:lpstr>Kabel1kabel</vt:lpstr>
      <vt:lpstr>Kabel1skarm</vt:lpstr>
      <vt:lpstr>Kabel1storrelse</vt:lpstr>
      <vt:lpstr>Kabel2kabel</vt:lpstr>
      <vt:lpstr>Kabel2skarm</vt:lpstr>
      <vt:lpstr>Kabel2storrelse</vt:lpstr>
      <vt:lpstr>Kobber1</vt:lpstr>
      <vt:lpstr>Kobber3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Jensen</dc:creator>
  <cp:lastModifiedBy>Simon Jensen</cp:lastModifiedBy>
  <dcterms:created xsi:type="dcterms:W3CDTF">2012-10-28T13:54:22Z</dcterms:created>
  <dcterms:modified xsi:type="dcterms:W3CDTF">2012-12-05T12:24:54Z</dcterms:modified>
</cp:coreProperties>
</file>